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pe.dev\Desktop\"/>
    </mc:Choice>
  </mc:AlternateContent>
  <bookViews>
    <workbookView xWindow="0" yWindow="0" windowWidth="25125" windowHeight="12210"/>
  </bookViews>
  <sheets>
    <sheet name="JULHO-2025" sheetId="46" r:id="rId1"/>
  </sheets>
  <definedNames>
    <definedName name="_xlnm._FilterDatabase" localSheetId="0" hidden="1">'JULHO-2025'!$A$2:$M$2</definedName>
  </definedNames>
  <calcPr calcId="162913"/>
</workbook>
</file>

<file path=xl/calcChain.xml><?xml version="1.0" encoding="utf-8"?>
<calcChain xmlns="http://schemas.openxmlformats.org/spreadsheetml/2006/main">
  <c r="F85" i="46" l="1"/>
  <c r="F83" i="46" l="1"/>
  <c r="F77" i="46"/>
  <c r="G145" i="46" l="1"/>
  <c r="E145" i="46"/>
  <c r="D145" i="46"/>
  <c r="C145" i="46"/>
  <c r="F140" i="46"/>
  <c r="F144" i="46"/>
  <c r="F139" i="46"/>
  <c r="F141" i="46"/>
  <c r="F138" i="46"/>
  <c r="F143" i="46"/>
  <c r="F142" i="46"/>
  <c r="G132" i="46"/>
  <c r="E132" i="46"/>
  <c r="D132" i="46"/>
  <c r="C132" i="46"/>
  <c r="F130" i="46"/>
  <c r="F127" i="46"/>
  <c r="F129" i="46"/>
  <c r="F128" i="46"/>
  <c r="F131" i="46"/>
  <c r="H122" i="46"/>
  <c r="G122" i="46"/>
  <c r="E122" i="46"/>
  <c r="D122" i="46"/>
  <c r="C122" i="46"/>
  <c r="F99" i="46"/>
  <c r="F98" i="46"/>
  <c r="F97" i="46"/>
  <c r="F109" i="46"/>
  <c r="F108" i="46"/>
  <c r="F96" i="46"/>
  <c r="F115" i="46"/>
  <c r="F107" i="46"/>
  <c r="F106" i="46"/>
  <c r="F95" i="46"/>
  <c r="F100" i="46"/>
  <c r="F114" i="46"/>
  <c r="F113" i="46"/>
  <c r="F110" i="46"/>
  <c r="F105" i="46"/>
  <c r="F94" i="46"/>
  <c r="F121" i="46"/>
  <c r="F112" i="46"/>
  <c r="F120" i="46"/>
  <c r="F119" i="46"/>
  <c r="F104" i="46"/>
  <c r="F116" i="46"/>
  <c r="F103" i="46"/>
  <c r="F102" i="46"/>
  <c r="F93" i="46"/>
  <c r="F118" i="46"/>
  <c r="F101" i="46"/>
  <c r="F111" i="46"/>
  <c r="F92" i="46"/>
  <c r="F117" i="46"/>
  <c r="H88" i="46"/>
  <c r="G88" i="46"/>
  <c r="E88" i="46"/>
  <c r="D88" i="46"/>
  <c r="C88" i="46"/>
  <c r="F23" i="46"/>
  <c r="F47" i="46"/>
  <c r="F82" i="46"/>
  <c r="F73" i="46"/>
  <c r="F72" i="46"/>
  <c r="F5" i="46"/>
  <c r="F71" i="46"/>
  <c r="F51" i="46"/>
  <c r="F87" i="46"/>
  <c r="F86" i="46"/>
  <c r="F46" i="46"/>
  <c r="F70" i="46"/>
  <c r="F13" i="46"/>
  <c r="F45" i="46"/>
  <c r="F44" i="46"/>
  <c r="F49" i="46"/>
  <c r="F43" i="46"/>
  <c r="F9" i="46"/>
  <c r="F80" i="46"/>
  <c r="F42" i="46"/>
  <c r="F69" i="46"/>
  <c r="F22" i="46"/>
  <c r="F78" i="46"/>
  <c r="F41" i="46"/>
  <c r="F68" i="46"/>
  <c r="F48" i="46"/>
  <c r="F67" i="46"/>
  <c r="F40" i="46"/>
  <c r="F39" i="46"/>
  <c r="F4" i="46"/>
  <c r="F81" i="46"/>
  <c r="F66" i="46"/>
  <c r="F17" i="46"/>
  <c r="F16" i="46"/>
  <c r="F8" i="46"/>
  <c r="F76" i="46"/>
  <c r="F50" i="46"/>
  <c r="F65" i="46"/>
  <c r="F38" i="46"/>
  <c r="F12" i="46"/>
  <c r="F37" i="46"/>
  <c r="F36" i="46"/>
  <c r="F35" i="46"/>
  <c r="F64" i="46"/>
  <c r="F75" i="46"/>
  <c r="F63" i="46"/>
  <c r="F62" i="46"/>
  <c r="F61" i="46"/>
  <c r="F60" i="46"/>
  <c r="F34" i="46"/>
  <c r="F33" i="46"/>
  <c r="F7" i="46"/>
  <c r="F14" i="46"/>
  <c r="F59" i="46"/>
  <c r="F32" i="46"/>
  <c r="F79" i="46"/>
  <c r="F84" i="46"/>
  <c r="F58" i="46"/>
  <c r="F3" i="46"/>
  <c r="F31" i="46"/>
  <c r="F57" i="46"/>
  <c r="F30" i="46"/>
  <c r="F52" i="46"/>
  <c r="F56" i="46"/>
  <c r="F29" i="46"/>
  <c r="F74" i="46"/>
  <c r="F6" i="46"/>
  <c r="F15" i="46"/>
  <c r="F21" i="46"/>
  <c r="F28" i="46"/>
  <c r="F20" i="46"/>
  <c r="F11" i="46"/>
  <c r="F10" i="46"/>
  <c r="F19" i="46"/>
  <c r="F18" i="46"/>
  <c r="F55" i="46"/>
  <c r="F27" i="46"/>
  <c r="F54" i="46"/>
  <c r="F26" i="46"/>
  <c r="F25" i="46"/>
  <c r="F53" i="46"/>
  <c r="F24" i="46"/>
  <c r="F145" i="46" l="1"/>
  <c r="F132" i="46"/>
  <c r="F122" i="46"/>
  <c r="F88" i="46"/>
</calcChain>
</file>

<file path=xl/sharedStrings.xml><?xml version="1.0" encoding="utf-8"?>
<sst xmlns="http://schemas.openxmlformats.org/spreadsheetml/2006/main" count="172" uniqueCount="48">
  <si>
    <t xml:space="preserve">VALOR TOTAL </t>
  </si>
  <si>
    <t>INSS</t>
  </si>
  <si>
    <t>VALOR</t>
  </si>
  <si>
    <t xml:space="preserve">FGTS </t>
  </si>
  <si>
    <t>CESTA BÁSICA</t>
  </si>
  <si>
    <t xml:space="preserve">CARGO </t>
  </si>
  <si>
    <t xml:space="preserve">COD </t>
  </si>
  <si>
    <t>SEID</t>
  </si>
  <si>
    <t>COZINHEIRO</t>
  </si>
  <si>
    <t>INCLUSÂO PRODUTIVA</t>
  </si>
  <si>
    <t>EQUOTERAPIA</t>
  </si>
  <si>
    <t>TOTAL</t>
  </si>
  <si>
    <t xml:space="preserve">TOTAL </t>
  </si>
  <si>
    <t>EDUCAÇÃO</t>
  </si>
  <si>
    <t xml:space="preserve">PSICOPEDAGOGA      </t>
  </si>
  <si>
    <t xml:space="preserve">PSICOPEDAGOGA   </t>
  </si>
  <si>
    <t xml:space="preserve">PSICOLOGO (A) </t>
  </si>
  <si>
    <t>FONOAUDIOLOGO (A)</t>
  </si>
  <si>
    <t>FISIOTERAPEUTA</t>
  </si>
  <si>
    <t>EDUCADOR FÍSICO</t>
  </si>
  <si>
    <t xml:space="preserve">ASSISTENTE SOCIAL </t>
  </si>
  <si>
    <t>AUXILIAR  ADMINISTRATIVO</t>
  </si>
  <si>
    <t xml:space="preserve"> ASSISTENTE DE COMPRAS</t>
  </si>
  <si>
    <t xml:space="preserve"> NUTRICIONISTA</t>
  </si>
  <si>
    <t>ALMOXARIFE</t>
  </si>
  <si>
    <t xml:space="preserve">COORDENADORA DE ÁREA FONO </t>
  </si>
  <si>
    <t xml:space="preserve">COORDENADORA DE ÁREA TO  </t>
  </si>
  <si>
    <t xml:space="preserve">MÉDICO NEUROLOGISTA </t>
  </si>
  <si>
    <t>MÉDICO PEDIATRA</t>
  </si>
  <si>
    <t xml:space="preserve">MÉDICO PSIQUIATRA </t>
  </si>
  <si>
    <t>NUTRICIONISTA</t>
  </si>
  <si>
    <t xml:space="preserve">SUPERVISORA DE REABILITAÇÃO </t>
  </si>
  <si>
    <t>TÉCNICO APOIO USUARIO DE INFORMÁTICA</t>
  </si>
  <si>
    <t xml:space="preserve">TERAPEUTA  OCUPACIONAL </t>
  </si>
  <si>
    <t>EDUCADOR SOCIAL  II - DANÇA</t>
  </si>
  <si>
    <t>EDUCADOR SOCIAL I - TERAPIAS COMPLENTARES</t>
  </si>
  <si>
    <t>EDUCADOR SOCIAL II - EDUCADOR FISICO</t>
  </si>
  <si>
    <t>EDUCADOR SOCIAL II -TEATRO</t>
  </si>
  <si>
    <t>EDUCADOR SOCIAL III - MUSICA</t>
  </si>
  <si>
    <t>PSICOLOGO (A)</t>
  </si>
  <si>
    <t>INSTRUTOR DE CURSO</t>
  </si>
  <si>
    <t xml:space="preserve">PSICOLOGO(A) I      </t>
  </si>
  <si>
    <t>CUIDADOR SOCIAL</t>
  </si>
  <si>
    <t xml:space="preserve">COORD AREA PSICO II </t>
  </si>
  <si>
    <t xml:space="preserve">AUX ADM II          </t>
  </si>
  <si>
    <t>001983</t>
  </si>
  <si>
    <t xml:space="preserve">IRRF </t>
  </si>
  <si>
    <t xml:space="preserve">QUANTIDADE DE HORAS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</si>
</sst>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$ &quot;* #,##0.00_);_(&quot;R$ &quot;* \(#,##0.00\);_(&quot;R$ &quot;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.25"/>
      <color indexed="8"/>
      <name val="Microsoft Sans 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0" fontId="9" fillId="0" borderId="0"/>
    <xf numFmtId="0" fontId="7" fillId="0" borderId="0"/>
    <xf numFmtId="0" fontId="7" fillId="0" borderId="0"/>
  </cellStyleXfs>
  <cellXfs count="149">
    <xf numFmtId="0" fontId="0" fillId="0" borderId="0" xfId="0"/>
    <xf numFmtId="0" fontId="10" fillId="2" borderId="0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0" fontId="10" fillId="2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0" fillId="2" borderId="1" xfId="0" applyFont="1" applyFill="1" applyBorder="1" applyAlignment="1"/>
    <xf numFmtId="0" fontId="10" fillId="2" borderId="5" xfId="5" applyFont="1" applyFill="1" applyBorder="1" applyAlignment="1">
      <alignment wrapText="1"/>
    </xf>
    <xf numFmtId="0" fontId="10" fillId="2" borderId="1" xfId="5" applyFont="1" applyFill="1" applyBorder="1" applyAlignment="1">
      <alignment wrapText="1"/>
    </xf>
    <xf numFmtId="0" fontId="10" fillId="2" borderId="1" xfId="5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0" fillId="2" borderId="0" xfId="0" applyFont="1" applyFill="1" applyBorder="1" applyAlignment="1"/>
    <xf numFmtId="0" fontId="13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2" fontId="13" fillId="2" borderId="0" xfId="0" applyNumberFormat="1" applyFont="1" applyFill="1" applyBorder="1" applyAlignment="1">
      <alignment vertical="top"/>
    </xf>
    <xf numFmtId="2" fontId="13" fillId="2" borderId="0" xfId="0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left"/>
    </xf>
    <xf numFmtId="2" fontId="14" fillId="2" borderId="1" xfId="0" applyNumberFormat="1" applyFont="1" applyFill="1" applyBorder="1" applyAlignment="1">
      <alignment horizontal="center" vertical="top"/>
    </xf>
    <xf numFmtId="2" fontId="14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left" vertical="top"/>
    </xf>
    <xf numFmtId="4" fontId="13" fillId="2" borderId="1" xfId="0" applyNumberFormat="1" applyFont="1" applyFill="1" applyBorder="1" applyAlignment="1">
      <alignment vertical="top"/>
    </xf>
    <xf numFmtId="2" fontId="13" fillId="2" borderId="1" xfId="0" applyNumberFormat="1" applyFont="1" applyFill="1" applyBorder="1" applyAlignment="1">
      <alignment vertical="top"/>
    </xf>
    <xf numFmtId="2" fontId="13" fillId="2" borderId="1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/>
    </xf>
    <xf numFmtId="0" fontId="13" fillId="2" borderId="1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2" fontId="12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right" wrapText="1"/>
    </xf>
    <xf numFmtId="2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top"/>
    </xf>
    <xf numFmtId="2" fontId="12" fillId="2" borderId="1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vertical="center"/>
    </xf>
    <xf numFmtId="0" fontId="13" fillId="2" borderId="0" xfId="2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 vertical="top"/>
    </xf>
    <xf numFmtId="2" fontId="13" fillId="2" borderId="4" xfId="0" applyNumberFormat="1" applyFont="1" applyFill="1" applyBorder="1" applyAlignment="1">
      <alignment vertical="top"/>
    </xf>
    <xf numFmtId="0" fontId="13" fillId="2" borderId="4" xfId="0" applyFont="1" applyFill="1" applyBorder="1" applyAlignment="1">
      <alignment horizontal="center" vertical="top"/>
    </xf>
    <xf numFmtId="0" fontId="14" fillId="2" borderId="1" xfId="1" applyNumberFormat="1" applyFont="1" applyFill="1" applyBorder="1" applyAlignment="1">
      <alignment horizontal="left" vertical="top"/>
    </xf>
    <xf numFmtId="4" fontId="14" fillId="2" borderId="1" xfId="1" applyNumberFormat="1" applyFont="1" applyFill="1" applyBorder="1" applyAlignment="1">
      <alignment horizontal="center" vertical="top"/>
    </xf>
    <xf numFmtId="2" fontId="14" fillId="2" borderId="1" xfId="1" applyNumberFormat="1" applyFont="1" applyFill="1" applyBorder="1" applyAlignment="1">
      <alignment vertical="top"/>
    </xf>
    <xf numFmtId="2" fontId="14" fillId="2" borderId="1" xfId="1" applyNumberFormat="1" applyFont="1" applyFill="1" applyBorder="1" applyAlignment="1">
      <alignment horizontal="center" vertical="top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top"/>
    </xf>
    <xf numFmtId="0" fontId="13" fillId="2" borderId="0" xfId="0" applyFont="1" applyFill="1"/>
    <xf numFmtId="2" fontId="13" fillId="2" borderId="0" xfId="0" applyNumberFormat="1" applyFont="1" applyFill="1"/>
    <xf numFmtId="0" fontId="14" fillId="2" borderId="0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2" fontId="13" fillId="2" borderId="4" xfId="0" applyNumberFormat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righ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2" applyFont="1" applyFill="1" applyBorder="1" applyAlignment="1">
      <alignment horizontal="center" wrapText="1"/>
    </xf>
    <xf numFmtId="4" fontId="14" fillId="2" borderId="1" xfId="0" applyNumberFormat="1" applyFont="1" applyFill="1" applyBorder="1" applyAlignment="1">
      <alignment horizontal="center" vertical="top"/>
    </xf>
    <xf numFmtId="0" fontId="14" fillId="2" borderId="0" xfId="1" applyNumberFormat="1" applyFont="1" applyFill="1" applyBorder="1" applyAlignment="1">
      <alignment horizontal="left" vertical="top"/>
    </xf>
    <xf numFmtId="0" fontId="14" fillId="2" borderId="0" xfId="0" applyFont="1" applyFill="1" applyAlignment="1">
      <alignment horizontal="center" vertical="top"/>
    </xf>
    <xf numFmtId="0" fontId="13" fillId="2" borderId="1" xfId="0" applyFont="1" applyFill="1" applyBorder="1" applyAlignment="1">
      <alignment horizontal="left" vertical="center"/>
    </xf>
    <xf numFmtId="4" fontId="14" fillId="2" borderId="1" xfId="0" applyNumberFormat="1" applyFont="1" applyFill="1" applyBorder="1" applyAlignment="1">
      <alignment vertical="top"/>
    </xf>
    <xf numFmtId="2" fontId="14" fillId="2" borderId="1" xfId="0" applyNumberFormat="1" applyFont="1" applyFill="1" applyBorder="1" applyAlignment="1">
      <alignment horizontal="center" wrapText="1"/>
    </xf>
    <xf numFmtId="2" fontId="14" fillId="2" borderId="1" xfId="0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/>
    </xf>
    <xf numFmtId="2" fontId="13" fillId="2" borderId="0" xfId="0" applyNumberFormat="1" applyFont="1" applyFill="1" applyBorder="1" applyAlignment="1">
      <alignment horizontal="center"/>
    </xf>
    <xf numFmtId="2" fontId="13" fillId="2" borderId="0" xfId="0" applyNumberFormat="1" applyFont="1" applyFill="1" applyBorder="1" applyAlignment="1"/>
    <xf numFmtId="0" fontId="13" fillId="2" borderId="0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3" fillId="2" borderId="6" xfId="0" applyFont="1" applyFill="1" applyBorder="1" applyAlignment="1" applyProtection="1">
      <alignment horizontal="left"/>
    </xf>
    <xf numFmtId="2" fontId="13" fillId="2" borderId="5" xfId="0" applyNumberFormat="1" applyFont="1" applyFill="1" applyBorder="1" applyAlignment="1">
      <alignment horizontal="center" vertical="top"/>
    </xf>
    <xf numFmtId="0" fontId="13" fillId="2" borderId="6" xfId="2" applyFont="1" applyFill="1" applyBorder="1" applyAlignment="1">
      <alignment horizontal="left" wrapText="1"/>
    </xf>
    <xf numFmtId="0" fontId="13" fillId="2" borderId="2" xfId="2" applyFont="1" applyFill="1" applyBorder="1" applyAlignment="1">
      <alignment horizontal="left" wrapText="1"/>
    </xf>
    <xf numFmtId="0" fontId="13" fillId="2" borderId="2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left"/>
    </xf>
    <xf numFmtId="0" fontId="14" fillId="2" borderId="4" xfId="0" applyFont="1" applyFill="1" applyBorder="1" applyAlignment="1">
      <alignment vertical="top"/>
    </xf>
    <xf numFmtId="2" fontId="14" fillId="2" borderId="1" xfId="1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vertical="top"/>
    </xf>
    <xf numFmtId="0" fontId="5" fillId="2" borderId="2" xfId="0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2" fontId="5" fillId="2" borderId="1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vertical="top"/>
    </xf>
    <xf numFmtId="0" fontId="3" fillId="2" borderId="2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vertical="top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vertical="top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4" fontId="2" fillId="2" borderId="1" xfId="0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horizontal="left"/>
    </xf>
    <xf numFmtId="2" fontId="13" fillId="2" borderId="4" xfId="0" applyNumberFormat="1" applyFont="1" applyFill="1" applyBorder="1" applyAlignment="1">
      <alignment horizontal="center" vertical="top" wrapText="1"/>
    </xf>
    <xf numFmtId="0" fontId="10" fillId="2" borderId="5" xfId="0" applyFont="1" applyFill="1" applyBorder="1" applyAlignment="1"/>
    <xf numFmtId="0" fontId="10" fillId="2" borderId="3" xfId="0" applyFont="1" applyFill="1" applyBorder="1" applyAlignment="1">
      <alignment vertical="top"/>
    </xf>
    <xf numFmtId="4" fontId="14" fillId="2" borderId="0" xfId="1" applyNumberFormat="1" applyFont="1" applyFill="1" applyBorder="1" applyAlignment="1">
      <alignment horizontal="center" vertical="top"/>
    </xf>
    <xf numFmtId="2" fontId="14" fillId="2" borderId="0" xfId="1" applyNumberFormat="1" applyFont="1" applyFill="1" applyBorder="1" applyAlignment="1">
      <alignment vertical="top"/>
    </xf>
    <xf numFmtId="2" fontId="14" fillId="2" borderId="0" xfId="1" applyNumberFormat="1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vertical="top"/>
    </xf>
    <xf numFmtId="4" fontId="13" fillId="2" borderId="0" xfId="0" applyNumberFormat="1" applyFont="1" applyFill="1" applyBorder="1" applyAlignment="1">
      <alignment vertical="top"/>
    </xf>
    <xf numFmtId="4" fontId="6" fillId="2" borderId="0" xfId="0" applyNumberFormat="1" applyFont="1" applyFill="1" applyBorder="1" applyAlignment="1">
      <alignment vertical="top" wrapText="1"/>
    </xf>
    <xf numFmtId="4" fontId="6" fillId="2" borderId="0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0" fontId="1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top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top"/>
    </xf>
  </cellXfs>
  <cellStyles count="6">
    <cellStyle name="Moeda" xfId="1" builtinId="4"/>
    <cellStyle name="Normal" xfId="0" builtinId="0"/>
    <cellStyle name="Normal 2" xfId="2"/>
    <cellStyle name="Normal 2 2" xfId="3"/>
    <cellStyle name="Normal 2 3" xfId="5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abSelected="1" topLeftCell="B13" workbookViewId="0">
      <selection activeCell="B3" sqref="B3"/>
    </sheetView>
  </sheetViews>
  <sheetFormatPr defaultRowHeight="15" x14ac:dyDescent="0.2"/>
  <cols>
    <col min="1" max="1" width="7.5703125" style="16" hidden="1" customWidth="1"/>
    <col min="2" max="2" width="36.85546875" style="18" customWidth="1"/>
    <col min="3" max="3" width="15.140625" style="18" hidden="1" customWidth="1"/>
    <col min="4" max="4" width="9.42578125" style="19" bestFit="1" customWidth="1"/>
    <col min="5" max="5" width="9.5703125" style="19" bestFit="1" customWidth="1"/>
    <col min="6" max="6" width="11.5703125" style="18" customWidth="1"/>
    <col min="7" max="7" width="11" style="19" customWidth="1"/>
    <col min="8" max="8" width="13.5703125" style="20" bestFit="1" customWidth="1"/>
    <col min="9" max="9" width="23.28515625" style="1" customWidth="1"/>
    <col min="10" max="10" width="9.140625" style="21" customWidth="1"/>
    <col min="11" max="11" width="30.85546875" style="18" customWidth="1"/>
    <col min="12" max="16384" width="9.140625" style="18"/>
  </cols>
  <sheetData>
    <row r="1" spans="1:13" ht="13.5" customHeight="1" x14ac:dyDescent="0.2">
      <c r="B1" s="17" t="s">
        <v>13</v>
      </c>
    </row>
    <row r="2" spans="1:13" ht="15.75" customHeight="1" x14ac:dyDescent="0.25">
      <c r="A2" s="22" t="s">
        <v>6</v>
      </c>
      <c r="B2" s="142" t="s">
        <v>5</v>
      </c>
      <c r="C2" s="143" t="s">
        <v>0</v>
      </c>
      <c r="D2" s="144" t="s">
        <v>46</v>
      </c>
      <c r="E2" s="144" t="s">
        <v>1</v>
      </c>
      <c r="F2" s="144" t="s">
        <v>2</v>
      </c>
      <c r="G2" s="144" t="s">
        <v>3</v>
      </c>
      <c r="H2" s="145" t="s">
        <v>4</v>
      </c>
      <c r="I2" s="144" t="s">
        <v>47</v>
      </c>
    </row>
    <row r="3" spans="1:13" ht="13.5" customHeight="1" x14ac:dyDescent="0.25">
      <c r="A3" s="22">
        <v>1899</v>
      </c>
      <c r="B3" s="4" t="s">
        <v>22</v>
      </c>
      <c r="C3" s="27">
        <v>1075.3</v>
      </c>
      <c r="D3" s="28"/>
      <c r="E3" s="28">
        <v>144.57</v>
      </c>
      <c r="F3" s="29">
        <f>C3/200*200</f>
        <v>1075.3</v>
      </c>
      <c r="G3" s="28">
        <v>296.76</v>
      </c>
      <c r="H3" s="30"/>
      <c r="I3" s="25">
        <v>40</v>
      </c>
      <c r="K3" s="32"/>
    </row>
    <row r="4" spans="1:13" ht="13.5" customHeight="1" x14ac:dyDescent="0.2">
      <c r="A4" s="26">
        <v>923</v>
      </c>
      <c r="B4" s="4" t="s">
        <v>23</v>
      </c>
      <c r="C4" s="27">
        <v>3351.21</v>
      </c>
      <c r="D4" s="28">
        <v>23.28</v>
      </c>
      <c r="E4" s="28">
        <v>136.72999999999999</v>
      </c>
      <c r="F4" s="34">
        <f>C4/160*50</f>
        <v>1047.253125</v>
      </c>
      <c r="G4" s="28">
        <v>164.22</v>
      </c>
      <c r="H4" s="30"/>
      <c r="I4" s="25">
        <v>10</v>
      </c>
      <c r="K4" s="32"/>
      <c r="L4" s="33"/>
    </row>
    <row r="5" spans="1:13" ht="13.5" customHeight="1" x14ac:dyDescent="0.2">
      <c r="A5" s="35">
        <v>2039</v>
      </c>
      <c r="B5" s="2" t="s">
        <v>24</v>
      </c>
      <c r="C5" s="27">
        <v>1704.86</v>
      </c>
      <c r="D5" s="28"/>
      <c r="E5" s="28">
        <v>165.17</v>
      </c>
      <c r="F5" s="29">
        <f>C5/200*200</f>
        <v>1704.8600000000001</v>
      </c>
      <c r="G5" s="28">
        <v>254.57</v>
      </c>
      <c r="H5" s="30"/>
      <c r="I5" s="25">
        <v>40</v>
      </c>
    </row>
    <row r="6" spans="1:13" ht="13.5" customHeight="1" x14ac:dyDescent="0.25">
      <c r="A6" s="66">
        <v>1920</v>
      </c>
      <c r="B6" s="2" t="s">
        <v>20</v>
      </c>
      <c r="C6" s="27">
        <v>1836.03</v>
      </c>
      <c r="D6" s="38"/>
      <c r="E6" s="28">
        <v>108.46</v>
      </c>
      <c r="F6" s="34">
        <f>C6/150*75</f>
        <v>918.01499999999999</v>
      </c>
      <c r="G6" s="28">
        <v>199.01</v>
      </c>
      <c r="H6" s="30"/>
      <c r="I6" s="70">
        <v>15</v>
      </c>
    </row>
    <row r="7" spans="1:13" s="107" customFormat="1" ht="13.5" customHeight="1" x14ac:dyDescent="0.2">
      <c r="A7" s="37">
        <v>1873</v>
      </c>
      <c r="B7" s="2" t="s">
        <v>20</v>
      </c>
      <c r="C7" s="27">
        <v>1836.02</v>
      </c>
      <c r="D7" s="28"/>
      <c r="E7" s="28">
        <v>216.91</v>
      </c>
      <c r="F7" s="29">
        <f>C7/150*150</f>
        <v>1836.02</v>
      </c>
      <c r="G7" s="28">
        <v>398.01</v>
      </c>
      <c r="H7" s="30"/>
      <c r="I7" s="25">
        <v>30</v>
      </c>
      <c r="K7" s="18"/>
      <c r="L7" s="18"/>
      <c r="M7" s="18"/>
    </row>
    <row r="8" spans="1:13" ht="13.5" customHeight="1" x14ac:dyDescent="0.2">
      <c r="A8" s="37">
        <v>1717</v>
      </c>
      <c r="B8" s="2" t="s">
        <v>20</v>
      </c>
      <c r="C8" s="27">
        <v>2769.6</v>
      </c>
      <c r="D8" s="28">
        <v>11.65</v>
      </c>
      <c r="E8" s="28">
        <v>332.55</v>
      </c>
      <c r="F8" s="29">
        <f>C8/150*150</f>
        <v>2769.6</v>
      </c>
      <c r="G8" s="28">
        <v>425.52</v>
      </c>
      <c r="H8" s="30"/>
      <c r="I8" s="25">
        <v>30</v>
      </c>
      <c r="K8" s="32"/>
      <c r="L8" s="33"/>
    </row>
    <row r="9" spans="1:13" ht="13.5" customHeight="1" x14ac:dyDescent="0.25">
      <c r="A9" s="102">
        <v>1803</v>
      </c>
      <c r="B9" s="8" t="s">
        <v>20</v>
      </c>
      <c r="C9" s="27">
        <v>2769.6</v>
      </c>
      <c r="D9" s="108">
        <v>5.83</v>
      </c>
      <c r="E9" s="103">
        <v>166.28</v>
      </c>
      <c r="F9" s="34">
        <f>C9/150*75</f>
        <v>1384.8</v>
      </c>
      <c r="G9" s="103">
        <v>212.76</v>
      </c>
      <c r="H9" s="104"/>
      <c r="I9" s="105">
        <v>15</v>
      </c>
      <c r="K9" s="32"/>
      <c r="L9" s="33"/>
    </row>
    <row r="10" spans="1:13" ht="13.5" customHeight="1" x14ac:dyDescent="0.25">
      <c r="A10" s="146" t="s">
        <v>45</v>
      </c>
      <c r="B10" s="2" t="s">
        <v>21</v>
      </c>
      <c r="C10" s="27">
        <v>1048.47</v>
      </c>
      <c r="D10" s="38"/>
      <c r="E10" s="39">
        <v>91.38</v>
      </c>
      <c r="F10" s="29">
        <f>C10/220*220</f>
        <v>1048.47</v>
      </c>
      <c r="G10" s="28">
        <v>155.6</v>
      </c>
      <c r="H10" s="30">
        <v>215</v>
      </c>
      <c r="I10" s="25">
        <v>44</v>
      </c>
      <c r="K10" s="42"/>
    </row>
    <row r="11" spans="1:13" ht="13.5" customHeight="1" x14ac:dyDescent="0.25">
      <c r="A11" s="35">
        <v>1857</v>
      </c>
      <c r="B11" s="2" t="s">
        <v>21</v>
      </c>
      <c r="C11" s="27">
        <v>1048.48</v>
      </c>
      <c r="D11" s="38"/>
      <c r="E11" s="39">
        <v>91.38</v>
      </c>
      <c r="F11" s="29">
        <f>C11/220*220</f>
        <v>1048.48</v>
      </c>
      <c r="G11" s="19">
        <v>155.61000000000001</v>
      </c>
      <c r="H11" s="30">
        <v>215</v>
      </c>
      <c r="I11" s="25">
        <v>44</v>
      </c>
      <c r="K11" s="36"/>
    </row>
    <row r="12" spans="1:13" ht="13.5" customHeight="1" x14ac:dyDescent="0.25">
      <c r="A12" s="128">
        <v>2141</v>
      </c>
      <c r="B12" s="2" t="s">
        <v>21</v>
      </c>
      <c r="C12" s="27">
        <v>1591.16</v>
      </c>
      <c r="D12" s="38"/>
      <c r="E12" s="39">
        <v>134.78</v>
      </c>
      <c r="F12" s="29">
        <f>C12/220*220</f>
        <v>1591.16</v>
      </c>
      <c r="G12" s="28">
        <v>140.04</v>
      </c>
      <c r="H12" s="30">
        <v>215</v>
      </c>
      <c r="I12" s="25">
        <v>44</v>
      </c>
      <c r="K12" s="109"/>
    </row>
    <row r="13" spans="1:13" ht="13.5" customHeight="1" x14ac:dyDescent="0.2">
      <c r="A13" s="26">
        <v>1266</v>
      </c>
      <c r="B13" s="2" t="s">
        <v>21</v>
      </c>
      <c r="C13" s="27">
        <v>1104.94</v>
      </c>
      <c r="D13" s="28"/>
      <c r="E13" s="28">
        <v>94.53</v>
      </c>
      <c r="F13" s="29">
        <f>C13/220*220</f>
        <v>1104.94</v>
      </c>
      <c r="G13" s="28">
        <v>160.27000000000001</v>
      </c>
      <c r="H13" s="30">
        <v>215</v>
      </c>
      <c r="I13" s="25">
        <v>44</v>
      </c>
      <c r="K13" s="32"/>
    </row>
    <row r="14" spans="1:13" ht="13.5" customHeight="1" x14ac:dyDescent="0.25">
      <c r="A14" s="53">
        <v>1371</v>
      </c>
      <c r="B14" s="2" t="s">
        <v>43</v>
      </c>
      <c r="C14" s="27">
        <v>4310.54</v>
      </c>
      <c r="D14" s="28">
        <v>169.47</v>
      </c>
      <c r="E14" s="28">
        <v>278.67</v>
      </c>
      <c r="F14" s="34">
        <f>C14/200*100</f>
        <v>2155.27</v>
      </c>
      <c r="G14" s="28">
        <v>369.17</v>
      </c>
      <c r="H14" s="30"/>
      <c r="I14" s="25">
        <v>20</v>
      </c>
      <c r="K14" s="32"/>
    </row>
    <row r="15" spans="1:13" ht="13.5" customHeight="1" x14ac:dyDescent="0.2">
      <c r="A15" s="40">
        <v>1550</v>
      </c>
      <c r="B15" s="2" t="s">
        <v>25</v>
      </c>
      <c r="C15" s="27">
        <v>3989.58</v>
      </c>
      <c r="D15" s="28">
        <v>189.09</v>
      </c>
      <c r="E15" s="28">
        <v>356.86</v>
      </c>
      <c r="F15" s="34">
        <f>C15/200*125</f>
        <v>2493.4875000000002</v>
      </c>
      <c r="G15" s="28">
        <v>412.83</v>
      </c>
      <c r="H15" s="30"/>
      <c r="I15" s="25">
        <v>25</v>
      </c>
      <c r="K15" s="32"/>
    </row>
    <row r="16" spans="1:13" ht="13.5" customHeight="1" x14ac:dyDescent="0.2">
      <c r="A16" s="26">
        <v>180</v>
      </c>
      <c r="B16" s="2" t="s">
        <v>26</v>
      </c>
      <c r="C16" s="27">
        <v>5169.49</v>
      </c>
      <c r="D16" s="28">
        <v>501.94</v>
      </c>
      <c r="E16" s="28">
        <v>456.78</v>
      </c>
      <c r="F16" s="34">
        <f>C16/200*160</f>
        <v>4135.5919999999996</v>
      </c>
      <c r="G16" s="28">
        <v>676.97</v>
      </c>
      <c r="H16" s="30"/>
      <c r="I16" s="25">
        <v>32</v>
      </c>
      <c r="K16" s="36"/>
    </row>
    <row r="17" spans="1:13" s="32" customFormat="1" ht="13.5" customHeight="1" x14ac:dyDescent="0.2">
      <c r="A17" s="41">
        <v>1206</v>
      </c>
      <c r="B17" s="6" t="s">
        <v>19</v>
      </c>
      <c r="C17" s="27">
        <v>2685.06</v>
      </c>
      <c r="D17" s="28">
        <v>0.51</v>
      </c>
      <c r="E17" s="28">
        <v>208.14</v>
      </c>
      <c r="F17" s="34">
        <f>C17/150*100</f>
        <v>1790.0400000000002</v>
      </c>
      <c r="G17" s="28">
        <v>270.77</v>
      </c>
      <c r="H17" s="30"/>
      <c r="I17" s="25">
        <v>20</v>
      </c>
      <c r="K17" s="18"/>
      <c r="L17" s="18"/>
      <c r="M17" s="18"/>
    </row>
    <row r="18" spans="1:13" s="32" customFormat="1" ht="13.5" customHeight="1" x14ac:dyDescent="0.2">
      <c r="A18" s="41">
        <v>168</v>
      </c>
      <c r="B18" s="2" t="s">
        <v>18</v>
      </c>
      <c r="C18" s="27">
        <v>3185.21</v>
      </c>
      <c r="D18" s="28">
        <v>27.19</v>
      </c>
      <c r="E18" s="28">
        <v>138.26</v>
      </c>
      <c r="F18" s="34">
        <f>C18/150*50</f>
        <v>1061.7366666666667</v>
      </c>
      <c r="G18" s="28">
        <v>167.94</v>
      </c>
      <c r="H18" s="30"/>
      <c r="I18" s="25">
        <v>10</v>
      </c>
      <c r="K18" s="16"/>
      <c r="M18" s="18"/>
    </row>
    <row r="19" spans="1:13" ht="13.5" customHeight="1" x14ac:dyDescent="0.2">
      <c r="A19" s="41">
        <v>1869</v>
      </c>
      <c r="B19" s="2" t="s">
        <v>18</v>
      </c>
      <c r="C19" s="27">
        <v>2770.51</v>
      </c>
      <c r="D19" s="28">
        <v>7.73</v>
      </c>
      <c r="E19" s="28">
        <v>273.44</v>
      </c>
      <c r="F19" s="34">
        <f>C19/150*125</f>
        <v>2308.7583333333337</v>
      </c>
      <c r="G19" s="28">
        <v>351.09</v>
      </c>
      <c r="H19" s="30"/>
      <c r="I19" s="25">
        <v>25</v>
      </c>
    </row>
    <row r="20" spans="1:13" s="33" customFormat="1" ht="13.5" customHeight="1" x14ac:dyDescent="0.2">
      <c r="A20" s="43">
        <v>1178</v>
      </c>
      <c r="B20" s="2" t="s">
        <v>18</v>
      </c>
      <c r="C20" s="27">
        <v>2793.26</v>
      </c>
      <c r="D20" s="28">
        <v>9.41</v>
      </c>
      <c r="E20" s="28">
        <v>225.05</v>
      </c>
      <c r="F20" s="34">
        <f>C20/150*100</f>
        <v>1862.1733333333334</v>
      </c>
      <c r="G20" s="28">
        <v>287.68</v>
      </c>
      <c r="H20" s="30"/>
      <c r="I20" s="25">
        <v>20</v>
      </c>
    </row>
    <row r="21" spans="1:13" ht="13.5" customHeight="1" x14ac:dyDescent="0.2">
      <c r="A21" s="41">
        <v>1822</v>
      </c>
      <c r="B21" s="2" t="s">
        <v>18</v>
      </c>
      <c r="C21" s="27">
        <v>2770.51</v>
      </c>
      <c r="D21" s="28">
        <v>6.19</v>
      </c>
      <c r="E21" s="28">
        <v>218.75</v>
      </c>
      <c r="F21" s="34">
        <f>C21/150*100</f>
        <v>1847.0066666666667</v>
      </c>
      <c r="G21" s="28">
        <v>280.87</v>
      </c>
      <c r="H21" s="30"/>
      <c r="I21" s="25">
        <v>20</v>
      </c>
      <c r="K21" s="48"/>
    </row>
    <row r="22" spans="1:13" ht="13.5" customHeight="1" x14ac:dyDescent="0.2">
      <c r="A22" s="41">
        <v>1243</v>
      </c>
      <c r="B22" s="2" t="s">
        <v>18</v>
      </c>
      <c r="C22" s="27">
        <v>3089.63</v>
      </c>
      <c r="D22" s="28">
        <v>20.13</v>
      </c>
      <c r="E22" s="28">
        <v>131.66999999999999</v>
      </c>
      <c r="F22" s="34">
        <f>C22/150*50</f>
        <v>1029.8766666666668</v>
      </c>
      <c r="G22" s="28">
        <v>161.66999999999999</v>
      </c>
      <c r="H22" s="30"/>
      <c r="I22" s="25">
        <v>10</v>
      </c>
      <c r="L22" s="33"/>
    </row>
    <row r="23" spans="1:13" s="32" customFormat="1" ht="13.5" customHeight="1" x14ac:dyDescent="0.2">
      <c r="A23" s="41">
        <v>2007</v>
      </c>
      <c r="B23" s="2" t="s">
        <v>18</v>
      </c>
      <c r="C23" s="27">
        <v>2493.19</v>
      </c>
      <c r="D23" s="28"/>
      <c r="E23" s="28">
        <v>283.77</v>
      </c>
      <c r="F23" s="29">
        <f>C23/150*150</f>
        <v>2493.19</v>
      </c>
      <c r="G23" s="39">
        <v>379.06</v>
      </c>
      <c r="H23" s="46"/>
      <c r="I23" s="47">
        <v>30</v>
      </c>
      <c r="K23" s="36"/>
      <c r="L23" s="18"/>
      <c r="M23" s="18"/>
    </row>
    <row r="24" spans="1:13" s="33" customFormat="1" ht="13.5" customHeight="1" x14ac:dyDescent="0.2">
      <c r="A24" s="43">
        <v>1912</v>
      </c>
      <c r="B24" s="9" t="s">
        <v>17</v>
      </c>
      <c r="C24" s="27">
        <v>3384.44</v>
      </c>
      <c r="D24" s="39">
        <v>65.88</v>
      </c>
      <c r="E24" s="39">
        <v>238.76</v>
      </c>
      <c r="F24" s="34">
        <f>C24/220*115</f>
        <v>1769.1390909090908</v>
      </c>
      <c r="G24" s="39">
        <v>285.19</v>
      </c>
      <c r="H24" s="46"/>
      <c r="I24" s="47">
        <v>23</v>
      </c>
      <c r="K24" s="49"/>
      <c r="L24" s="18"/>
      <c r="M24" s="18"/>
    </row>
    <row r="25" spans="1:13" s="33" customFormat="1" ht="13.5" customHeight="1" x14ac:dyDescent="0.2">
      <c r="A25" s="41">
        <v>2010</v>
      </c>
      <c r="B25" s="9" t="s">
        <v>17</v>
      </c>
      <c r="C25" s="27">
        <v>3147.59</v>
      </c>
      <c r="D25" s="28">
        <v>36.619999999999997</v>
      </c>
      <c r="E25" s="28">
        <v>203.5</v>
      </c>
      <c r="F25" s="34">
        <f>C25/200*100</f>
        <v>1573.7950000000001</v>
      </c>
      <c r="G25" s="28">
        <v>248.21</v>
      </c>
      <c r="H25" s="30"/>
      <c r="I25" s="25">
        <v>20</v>
      </c>
      <c r="K25" s="18"/>
      <c r="L25" s="18"/>
      <c r="M25" s="18"/>
    </row>
    <row r="26" spans="1:13" s="33" customFormat="1" ht="13.5" customHeight="1" x14ac:dyDescent="0.2">
      <c r="A26" s="41">
        <v>1601</v>
      </c>
      <c r="B26" s="9" t="s">
        <v>17</v>
      </c>
      <c r="C26" s="27">
        <v>3969.67</v>
      </c>
      <c r="D26" s="28">
        <v>192.47</v>
      </c>
      <c r="E26" s="28">
        <v>362.56</v>
      </c>
      <c r="F26" s="34">
        <f>C26/200*125</f>
        <v>2481.0437499999998</v>
      </c>
      <c r="G26" s="28">
        <v>405.61</v>
      </c>
      <c r="H26" s="30"/>
      <c r="I26" s="25">
        <v>25</v>
      </c>
      <c r="K26" s="49"/>
      <c r="L26" s="18"/>
      <c r="M26" s="18"/>
    </row>
    <row r="27" spans="1:13" s="33" customFormat="1" ht="13.5" customHeight="1" x14ac:dyDescent="0.2">
      <c r="A27" s="41">
        <v>1860</v>
      </c>
      <c r="B27" s="9" t="s">
        <v>17</v>
      </c>
      <c r="C27" s="27">
        <v>1750.3</v>
      </c>
      <c r="D27" s="28"/>
      <c r="E27" s="28">
        <v>154.41999999999999</v>
      </c>
      <c r="F27" s="34">
        <f>C27/100*90</f>
        <v>1575.27</v>
      </c>
      <c r="G27" s="28">
        <v>235.53</v>
      </c>
      <c r="H27" s="30"/>
      <c r="I27" s="25">
        <v>18</v>
      </c>
      <c r="K27" s="32"/>
      <c r="L27" s="32"/>
      <c r="M27" s="18"/>
    </row>
    <row r="28" spans="1:13" s="33" customFormat="1" ht="13.5" customHeight="1" x14ac:dyDescent="0.2">
      <c r="A28" s="41">
        <v>1376</v>
      </c>
      <c r="B28" s="9" t="s">
        <v>17</v>
      </c>
      <c r="C28" s="27">
        <v>3814.35</v>
      </c>
      <c r="D28" s="28">
        <v>221.44</v>
      </c>
      <c r="E28" s="28">
        <v>479.96</v>
      </c>
      <c r="F28" s="34">
        <f>C28/200*175</f>
        <v>3337.5562499999996</v>
      </c>
      <c r="G28" s="28">
        <v>552.32000000000005</v>
      </c>
      <c r="H28" s="30"/>
      <c r="I28" s="25">
        <v>35</v>
      </c>
      <c r="K28" s="48"/>
      <c r="L28" s="18"/>
      <c r="M28" s="18"/>
    </row>
    <row r="29" spans="1:13" ht="13.5" customHeight="1" x14ac:dyDescent="0.2">
      <c r="A29" s="41">
        <v>1459</v>
      </c>
      <c r="B29" s="9" t="s">
        <v>17</v>
      </c>
      <c r="C29" s="27">
        <v>3090.39</v>
      </c>
      <c r="D29" s="28">
        <v>55.09</v>
      </c>
      <c r="E29" s="28">
        <v>390.06</v>
      </c>
      <c r="F29" s="29">
        <f>C29/150*150</f>
        <v>3090.39</v>
      </c>
      <c r="G29" s="28">
        <v>480.29</v>
      </c>
      <c r="H29" s="30"/>
      <c r="I29" s="25">
        <v>30</v>
      </c>
      <c r="K29" s="32"/>
    </row>
    <row r="30" spans="1:13" ht="13.5" customHeight="1" x14ac:dyDescent="0.2">
      <c r="A30" s="41">
        <v>1182</v>
      </c>
      <c r="B30" s="9" t="s">
        <v>17</v>
      </c>
      <c r="C30" s="27">
        <v>1064.51</v>
      </c>
      <c r="D30" s="28"/>
      <c r="E30" s="28">
        <v>43.27</v>
      </c>
      <c r="F30" s="34">
        <f>C30/40*20</f>
        <v>532.255</v>
      </c>
      <c r="G30" s="28">
        <v>74.45</v>
      </c>
      <c r="H30" s="30"/>
      <c r="I30" s="25">
        <v>4</v>
      </c>
      <c r="K30" s="32"/>
    </row>
    <row r="31" spans="1:13" ht="13.5" customHeight="1" x14ac:dyDescent="0.2">
      <c r="A31" s="41">
        <v>1884</v>
      </c>
      <c r="B31" s="9" t="s">
        <v>17</v>
      </c>
      <c r="C31" s="27">
        <v>2493.19</v>
      </c>
      <c r="D31" s="28"/>
      <c r="E31" s="28">
        <v>236.48</v>
      </c>
      <c r="F31" s="34">
        <f>C31/150*125</f>
        <v>2077.6583333333333</v>
      </c>
      <c r="G31" s="28">
        <v>315.88</v>
      </c>
      <c r="H31" s="44"/>
      <c r="I31" s="47">
        <v>25</v>
      </c>
      <c r="K31" s="33"/>
      <c r="L31" s="33"/>
      <c r="M31" s="33"/>
    </row>
    <row r="32" spans="1:13" ht="13.5" customHeight="1" x14ac:dyDescent="0.2">
      <c r="A32" s="41">
        <v>1354</v>
      </c>
      <c r="B32" s="9" t="s">
        <v>17</v>
      </c>
      <c r="C32" s="27">
        <v>1269.8800000000001</v>
      </c>
      <c r="D32" s="28"/>
      <c r="E32" s="28">
        <v>56.76</v>
      </c>
      <c r="F32" s="34">
        <f>C32/60*30</f>
        <v>634.94000000000005</v>
      </c>
      <c r="G32" s="28">
        <v>94.21</v>
      </c>
      <c r="H32" s="30"/>
      <c r="I32" s="25">
        <v>6</v>
      </c>
      <c r="K32" s="16"/>
    </row>
    <row r="33" spans="1:13" ht="13.5" customHeight="1" x14ac:dyDescent="0.2">
      <c r="A33" s="43">
        <v>968</v>
      </c>
      <c r="B33" s="9" t="s">
        <v>17</v>
      </c>
      <c r="C33" s="27">
        <v>3137.41</v>
      </c>
      <c r="D33" s="28">
        <v>35.49</v>
      </c>
      <c r="E33" s="28">
        <v>202.45</v>
      </c>
      <c r="F33" s="34">
        <f>C33/150*75</f>
        <v>1568.7049999999999</v>
      </c>
      <c r="G33" s="28">
        <v>247.21</v>
      </c>
      <c r="H33" s="30"/>
      <c r="I33" s="25">
        <v>15</v>
      </c>
      <c r="K33" s="42"/>
    </row>
    <row r="34" spans="1:13" s="33" customFormat="1" ht="13.5" customHeight="1" x14ac:dyDescent="0.2">
      <c r="A34" s="43">
        <v>1410</v>
      </c>
      <c r="B34" s="9" t="s">
        <v>17</v>
      </c>
      <c r="C34" s="27">
        <v>1700.62</v>
      </c>
      <c r="D34" s="28"/>
      <c r="E34" s="28">
        <v>87.77</v>
      </c>
      <c r="F34" s="34">
        <f>C34/75*40</f>
        <v>906.99733333333324</v>
      </c>
      <c r="G34" s="28">
        <v>135.41999999999999</v>
      </c>
      <c r="H34" s="30"/>
      <c r="I34" s="25">
        <v>8</v>
      </c>
      <c r="K34" s="32"/>
      <c r="L34" s="18"/>
      <c r="M34" s="18"/>
    </row>
    <row r="35" spans="1:13" ht="13.5" customHeight="1" x14ac:dyDescent="0.2">
      <c r="A35" s="41">
        <v>1989</v>
      </c>
      <c r="B35" s="9" t="s">
        <v>17</v>
      </c>
      <c r="C35" s="27">
        <v>2672.83</v>
      </c>
      <c r="D35" s="28"/>
      <c r="E35" s="28">
        <v>61.68</v>
      </c>
      <c r="F35" s="34">
        <f>C35/100*25</f>
        <v>668.20749999999998</v>
      </c>
      <c r="G35" s="28">
        <v>58.88</v>
      </c>
      <c r="H35" s="30"/>
      <c r="I35" s="25">
        <v>5</v>
      </c>
      <c r="L35" s="33"/>
      <c r="M35" s="33"/>
    </row>
    <row r="36" spans="1:13" ht="13.5" customHeight="1" x14ac:dyDescent="0.2">
      <c r="A36" s="41">
        <v>1595</v>
      </c>
      <c r="B36" s="9" t="s">
        <v>17</v>
      </c>
      <c r="C36" s="27">
        <v>2516.69</v>
      </c>
      <c r="D36" s="28"/>
      <c r="E36" s="28">
        <v>239.79</v>
      </c>
      <c r="F36" s="34">
        <f>C36/150*125</f>
        <v>2097.2416666666668</v>
      </c>
      <c r="G36" s="28">
        <v>319.04000000000002</v>
      </c>
      <c r="H36" s="30"/>
      <c r="I36" s="25">
        <v>25</v>
      </c>
      <c r="K36" s="32"/>
      <c r="L36" s="33"/>
    </row>
    <row r="37" spans="1:13" ht="13.5" customHeight="1" x14ac:dyDescent="0.2">
      <c r="A37" s="41">
        <v>1882</v>
      </c>
      <c r="B37" s="9" t="s">
        <v>17</v>
      </c>
      <c r="C37" s="27">
        <v>2125.65</v>
      </c>
      <c r="D37" s="28"/>
      <c r="E37" s="28">
        <v>179.51</v>
      </c>
      <c r="F37" s="34">
        <f>C37/125*100</f>
        <v>1700.5200000000002</v>
      </c>
      <c r="G37" s="28">
        <v>256.3</v>
      </c>
      <c r="H37" s="44"/>
      <c r="I37" s="47">
        <v>20</v>
      </c>
      <c r="K37" s="32"/>
    </row>
    <row r="38" spans="1:13" ht="13.5" customHeight="1" x14ac:dyDescent="0.2">
      <c r="A38" s="41">
        <v>2020</v>
      </c>
      <c r="B38" s="9" t="s">
        <v>17</v>
      </c>
      <c r="C38" s="27">
        <v>3147.59</v>
      </c>
      <c r="D38" s="28">
        <v>73.23</v>
      </c>
      <c r="E38" s="28">
        <v>407</v>
      </c>
      <c r="F38" s="29">
        <f>C38/200*200</f>
        <v>3147.59</v>
      </c>
      <c r="G38" s="28">
        <v>496.42</v>
      </c>
      <c r="H38" s="30"/>
      <c r="I38" s="25">
        <v>40</v>
      </c>
      <c r="K38" s="42"/>
    </row>
    <row r="39" spans="1:13" ht="13.5" customHeight="1" x14ac:dyDescent="0.2">
      <c r="A39" s="41">
        <v>1105</v>
      </c>
      <c r="B39" s="123" t="s">
        <v>17</v>
      </c>
      <c r="C39" s="27">
        <v>1434.01</v>
      </c>
      <c r="D39" s="28"/>
      <c r="E39" s="28">
        <v>108.28</v>
      </c>
      <c r="F39" s="34">
        <f>C39/60*50</f>
        <v>1195.0083333333334</v>
      </c>
      <c r="G39" s="28">
        <v>177.27</v>
      </c>
      <c r="H39" s="30"/>
      <c r="I39" s="25">
        <v>10</v>
      </c>
      <c r="K39" s="129"/>
    </row>
    <row r="40" spans="1:13" ht="13.5" customHeight="1" x14ac:dyDescent="0.2">
      <c r="A40" s="41">
        <v>403</v>
      </c>
      <c r="B40" s="9" t="s">
        <v>17</v>
      </c>
      <c r="C40" s="27">
        <v>3136.68</v>
      </c>
      <c r="D40" s="28">
        <v>40.68</v>
      </c>
      <c r="E40" s="28">
        <v>225.39</v>
      </c>
      <c r="F40" s="34">
        <f>C40/150*80</f>
        <v>1672.8959999999997</v>
      </c>
      <c r="G40" s="28">
        <v>299.66000000000003</v>
      </c>
      <c r="H40" s="30"/>
      <c r="I40" s="25">
        <v>16</v>
      </c>
      <c r="K40" s="33"/>
    </row>
    <row r="41" spans="1:13" ht="13.5" customHeight="1" x14ac:dyDescent="0.2">
      <c r="A41" s="41">
        <v>2014</v>
      </c>
      <c r="B41" s="9" t="s">
        <v>17</v>
      </c>
      <c r="C41" s="27">
        <v>1750.3</v>
      </c>
      <c r="D41" s="28"/>
      <c r="E41" s="28">
        <v>128.69</v>
      </c>
      <c r="F41" s="34">
        <f>C41/100*75</f>
        <v>1312.7249999999999</v>
      </c>
      <c r="G41" s="39">
        <v>196.28</v>
      </c>
      <c r="H41" s="46"/>
      <c r="I41" s="47">
        <v>15</v>
      </c>
      <c r="K41" s="16"/>
    </row>
    <row r="42" spans="1:13" ht="13.5" customHeight="1" x14ac:dyDescent="0.2">
      <c r="A42" s="26">
        <v>1427</v>
      </c>
      <c r="B42" s="9" t="s">
        <v>17</v>
      </c>
      <c r="C42" s="27">
        <v>3090.39</v>
      </c>
      <c r="D42" s="28">
        <v>55.09</v>
      </c>
      <c r="E42" s="28">
        <v>390.06</v>
      </c>
      <c r="F42" s="29">
        <f>C42/150*150</f>
        <v>3090.39</v>
      </c>
      <c r="G42" s="28">
        <v>480.29</v>
      </c>
      <c r="H42" s="30"/>
      <c r="I42" s="25">
        <v>30</v>
      </c>
      <c r="K42" s="16"/>
    </row>
    <row r="43" spans="1:13" ht="13.5" customHeight="1" x14ac:dyDescent="0.25">
      <c r="A43" s="121">
        <v>2188</v>
      </c>
      <c r="B43" s="8" t="s">
        <v>17</v>
      </c>
      <c r="C43" s="27">
        <v>4243.7299999999996</v>
      </c>
      <c r="D43" s="108">
        <v>227.27</v>
      </c>
      <c r="E43" s="103">
        <v>294.31</v>
      </c>
      <c r="F43" s="34">
        <f>C43/200*100</f>
        <v>2121.8649999999998</v>
      </c>
      <c r="G43" s="103">
        <v>222.58</v>
      </c>
      <c r="H43" s="104"/>
      <c r="I43" s="105">
        <v>20</v>
      </c>
      <c r="L43" s="33"/>
      <c r="M43" s="33"/>
    </row>
    <row r="44" spans="1:13" ht="13.5" customHeight="1" x14ac:dyDescent="0.2">
      <c r="A44" s="40">
        <v>934</v>
      </c>
      <c r="B44" s="9" t="s">
        <v>17</v>
      </c>
      <c r="C44" s="27">
        <v>3163.94</v>
      </c>
      <c r="D44" s="28">
        <v>37.04</v>
      </c>
      <c r="E44" s="28">
        <v>337.42</v>
      </c>
      <c r="F44" s="34">
        <f>C44/150*125</f>
        <v>2636.6166666666668</v>
      </c>
      <c r="G44" s="28">
        <v>412.02</v>
      </c>
      <c r="H44" s="30"/>
      <c r="I44" s="25">
        <v>25</v>
      </c>
      <c r="K44" s="33"/>
    </row>
    <row r="45" spans="1:13" ht="13.5" customHeight="1" x14ac:dyDescent="0.2">
      <c r="A45" s="26">
        <v>1506</v>
      </c>
      <c r="B45" s="9" t="s">
        <v>17</v>
      </c>
      <c r="C45" s="27">
        <v>3394.15</v>
      </c>
      <c r="D45" s="28">
        <v>19.68</v>
      </c>
      <c r="E45" s="28">
        <v>70.459999999999994</v>
      </c>
      <c r="F45" s="34">
        <f>C45/195*30</f>
        <v>522.17692307692312</v>
      </c>
      <c r="G45" s="28">
        <v>83.85</v>
      </c>
      <c r="H45" s="30"/>
      <c r="I45" s="25">
        <v>6</v>
      </c>
      <c r="K45" s="48"/>
    </row>
    <row r="46" spans="1:13" ht="13.5" customHeight="1" x14ac:dyDescent="0.2">
      <c r="A46" s="26">
        <v>1740</v>
      </c>
      <c r="B46" s="9" t="s">
        <v>17</v>
      </c>
      <c r="C46" s="27">
        <v>3413.4</v>
      </c>
      <c r="D46" s="28">
        <v>102.12</v>
      </c>
      <c r="E46" s="28">
        <v>356.99</v>
      </c>
      <c r="F46" s="34">
        <f>C46/220*170</f>
        <v>2637.6272727272726</v>
      </c>
      <c r="G46" s="28">
        <v>424.07</v>
      </c>
      <c r="H46" s="30"/>
      <c r="I46" s="25">
        <v>34</v>
      </c>
      <c r="K46" s="49"/>
    </row>
    <row r="47" spans="1:13" ht="13.5" customHeight="1" x14ac:dyDescent="0.2">
      <c r="A47" s="41">
        <v>1910</v>
      </c>
      <c r="B47" s="9" t="s">
        <v>17</v>
      </c>
      <c r="C47" s="27">
        <v>3147.59</v>
      </c>
      <c r="D47" s="28">
        <v>64.08</v>
      </c>
      <c r="E47" s="28">
        <v>356.13</v>
      </c>
      <c r="F47" s="34">
        <f>C47/200*175</f>
        <v>2754.1412500000001</v>
      </c>
      <c r="G47" s="28">
        <v>434.37</v>
      </c>
      <c r="H47" s="30"/>
      <c r="I47" s="25">
        <v>35</v>
      </c>
    </row>
    <row r="48" spans="1:13" ht="13.5" customHeight="1" x14ac:dyDescent="0.2">
      <c r="A48" s="41">
        <v>516</v>
      </c>
      <c r="B48" s="2" t="s">
        <v>27</v>
      </c>
      <c r="C48" s="27">
        <v>8464.49</v>
      </c>
      <c r="D48" s="28">
        <v>1369.63</v>
      </c>
      <c r="E48" s="28">
        <v>436.63</v>
      </c>
      <c r="F48" s="34">
        <f>C48/85*65</f>
        <v>6472.8452941176465</v>
      </c>
      <c r="G48" s="28">
        <v>1062.9000000000001</v>
      </c>
      <c r="H48" s="30"/>
      <c r="I48" s="25">
        <v>13</v>
      </c>
      <c r="K48" s="36"/>
    </row>
    <row r="49" spans="1:13" ht="13.5" customHeight="1" x14ac:dyDescent="0.2">
      <c r="A49" s="26">
        <v>1844</v>
      </c>
      <c r="B49" s="8" t="s">
        <v>28</v>
      </c>
      <c r="C49" s="27">
        <v>13521.3</v>
      </c>
      <c r="D49" s="28">
        <v>730.88</v>
      </c>
      <c r="E49" s="28">
        <v>114.2</v>
      </c>
      <c r="F49" s="34">
        <f>C49/150*30</f>
        <v>2704.2599999999998</v>
      </c>
      <c r="G49" s="28">
        <v>458.67</v>
      </c>
      <c r="H49" s="30"/>
      <c r="I49" s="25">
        <v>6</v>
      </c>
      <c r="K49" s="36"/>
    </row>
    <row r="50" spans="1:13" ht="13.5" customHeight="1" x14ac:dyDescent="0.2">
      <c r="A50" s="26">
        <v>1356</v>
      </c>
      <c r="B50" s="2" t="s">
        <v>29</v>
      </c>
      <c r="C50" s="27">
        <v>3254.97</v>
      </c>
      <c r="D50" s="28">
        <v>48.52</v>
      </c>
      <c r="E50" s="28">
        <v>214.61</v>
      </c>
      <c r="F50" s="34">
        <f>C50/30*15</f>
        <v>1627.4849999999999</v>
      </c>
      <c r="G50" s="28">
        <v>258.79000000000002</v>
      </c>
      <c r="H50" s="30"/>
      <c r="I50" s="25">
        <v>3</v>
      </c>
      <c r="K50" s="32"/>
    </row>
    <row r="51" spans="1:13" ht="13.5" customHeight="1" x14ac:dyDescent="0.2">
      <c r="A51" s="26">
        <v>1952</v>
      </c>
      <c r="B51" s="2" t="s">
        <v>29</v>
      </c>
      <c r="C51" s="27">
        <v>2173.42</v>
      </c>
      <c r="D51" s="28"/>
      <c r="E51" s="28">
        <v>115.6</v>
      </c>
      <c r="F51" s="34">
        <f>C51/20*10</f>
        <v>1086.71</v>
      </c>
      <c r="G51" s="28">
        <v>164.18</v>
      </c>
      <c r="H51" s="30"/>
      <c r="I51" s="25">
        <v>2</v>
      </c>
    </row>
    <row r="52" spans="1:13" ht="13.5" customHeight="1" x14ac:dyDescent="0.2">
      <c r="A52" s="26">
        <v>1278</v>
      </c>
      <c r="B52" s="8" t="s">
        <v>30</v>
      </c>
      <c r="C52" s="27">
        <v>3171.76</v>
      </c>
      <c r="D52" s="28">
        <v>5.46</v>
      </c>
      <c r="E52" s="28">
        <v>113.8</v>
      </c>
      <c r="F52" s="34">
        <f>C52/150*50</f>
        <v>1057.2533333333333</v>
      </c>
      <c r="G52" s="28">
        <v>144.65</v>
      </c>
      <c r="H52" s="30"/>
      <c r="I52" s="25">
        <v>10</v>
      </c>
    </row>
    <row r="53" spans="1:13" s="32" customFormat="1" ht="13.5" customHeight="1" x14ac:dyDescent="0.2">
      <c r="A53" s="41">
        <v>1948</v>
      </c>
      <c r="B53" s="10" t="s">
        <v>16</v>
      </c>
      <c r="C53" s="27">
        <v>3147.59</v>
      </c>
      <c r="D53" s="28">
        <v>54.92</v>
      </c>
      <c r="E53" s="28">
        <v>305.25</v>
      </c>
      <c r="F53" s="34">
        <f>C53/200*150</f>
        <v>2360.6925000000001</v>
      </c>
      <c r="G53" s="28">
        <v>372.32</v>
      </c>
      <c r="H53" s="30"/>
      <c r="I53" s="25">
        <v>30</v>
      </c>
      <c r="K53" s="18"/>
      <c r="L53" s="18"/>
      <c r="M53" s="18"/>
    </row>
    <row r="54" spans="1:13" s="32" customFormat="1" ht="13.5" customHeight="1" x14ac:dyDescent="0.2">
      <c r="A54" s="41">
        <v>1813</v>
      </c>
      <c r="B54" s="10" t="s">
        <v>16</v>
      </c>
      <c r="C54" s="27">
        <v>3052.47</v>
      </c>
      <c r="D54" s="39">
        <v>27.45</v>
      </c>
      <c r="E54" s="39">
        <v>203.85</v>
      </c>
      <c r="F54" s="34">
        <f>C54/190*100</f>
        <v>1606.5631578947368</v>
      </c>
      <c r="G54" s="28">
        <v>251.41</v>
      </c>
      <c r="H54" s="30"/>
      <c r="I54" s="25">
        <v>20</v>
      </c>
      <c r="K54" s="18"/>
      <c r="L54" s="18"/>
      <c r="M54" s="18"/>
    </row>
    <row r="55" spans="1:13" s="33" customFormat="1" ht="13.5" customHeight="1" x14ac:dyDescent="0.2">
      <c r="A55" s="26">
        <v>2058</v>
      </c>
      <c r="B55" s="10" t="s">
        <v>16</v>
      </c>
      <c r="C55" s="27">
        <v>2493.25</v>
      </c>
      <c r="D55" s="28"/>
      <c r="E55" s="28">
        <v>283.77999999999997</v>
      </c>
      <c r="F55" s="29">
        <f>C55/150*150</f>
        <v>2493.25</v>
      </c>
      <c r="G55" s="28">
        <v>379.07</v>
      </c>
      <c r="H55" s="30"/>
      <c r="I55" s="25">
        <v>30</v>
      </c>
      <c r="K55" s="36"/>
      <c r="L55" s="18"/>
      <c r="M55" s="18"/>
    </row>
    <row r="56" spans="1:13" ht="13.5" customHeight="1" x14ac:dyDescent="0.2">
      <c r="A56" s="26">
        <v>1973</v>
      </c>
      <c r="B56" s="11" t="s">
        <v>16</v>
      </c>
      <c r="C56" s="27">
        <v>2493.19</v>
      </c>
      <c r="D56" s="28"/>
      <c r="E56" s="28">
        <v>283.77</v>
      </c>
      <c r="F56" s="29">
        <f>C56/150*150</f>
        <v>2493.19</v>
      </c>
      <c r="G56" s="28">
        <v>379.06</v>
      </c>
      <c r="H56" s="30"/>
      <c r="I56" s="25">
        <v>30</v>
      </c>
    </row>
    <row r="57" spans="1:13" ht="13.5" customHeight="1" x14ac:dyDescent="0.2">
      <c r="A57" s="26">
        <v>674</v>
      </c>
      <c r="B57" s="10" t="s">
        <v>16</v>
      </c>
      <c r="C57" s="27">
        <v>3087.13</v>
      </c>
      <c r="D57" s="28">
        <v>52.3</v>
      </c>
      <c r="E57" s="28">
        <v>343.08</v>
      </c>
      <c r="F57" s="34">
        <f>C57/150*130</f>
        <v>2675.512666666667</v>
      </c>
      <c r="G57" s="28">
        <v>423.58</v>
      </c>
      <c r="H57" s="30"/>
      <c r="I57" s="25">
        <v>26</v>
      </c>
      <c r="K57" s="36"/>
    </row>
    <row r="58" spans="1:13" ht="13.5" customHeight="1" x14ac:dyDescent="0.2">
      <c r="A58" s="26">
        <v>1868</v>
      </c>
      <c r="B58" s="10" t="s">
        <v>16</v>
      </c>
      <c r="C58" s="27">
        <v>2823.19</v>
      </c>
      <c r="D58" s="28"/>
      <c r="E58" s="28">
        <v>283.77</v>
      </c>
      <c r="F58" s="29">
        <f>C58/150*150</f>
        <v>2823.19</v>
      </c>
      <c r="G58" s="28">
        <v>379.06</v>
      </c>
      <c r="H58" s="30"/>
      <c r="I58" s="25">
        <v>30</v>
      </c>
      <c r="K58" s="32"/>
    </row>
    <row r="59" spans="1:13" ht="13.5" customHeight="1" x14ac:dyDescent="0.2">
      <c r="A59" s="26">
        <v>1130</v>
      </c>
      <c r="B59" s="10" t="s">
        <v>16</v>
      </c>
      <c r="C59" s="27">
        <v>3170.84</v>
      </c>
      <c r="D59" s="28">
        <v>15.63</v>
      </c>
      <c r="E59" s="28">
        <v>288.19</v>
      </c>
      <c r="F59" s="34">
        <f>C59/150*125</f>
        <v>2642.3666666666668</v>
      </c>
      <c r="G59" s="28">
        <v>365.13</v>
      </c>
      <c r="H59" s="30"/>
      <c r="I59" s="25">
        <v>25</v>
      </c>
      <c r="K59" s="33"/>
    </row>
    <row r="60" spans="1:13" ht="13.5" customHeight="1" x14ac:dyDescent="0.2">
      <c r="A60" s="40">
        <v>2149</v>
      </c>
      <c r="B60" s="10" t="s">
        <v>16</v>
      </c>
      <c r="C60" s="27">
        <v>3678.78</v>
      </c>
      <c r="D60" s="28">
        <v>128.69</v>
      </c>
      <c r="E60" s="28">
        <v>338.84</v>
      </c>
      <c r="F60" s="34">
        <f>C60/150*125</f>
        <v>3065.65</v>
      </c>
      <c r="G60" s="28">
        <v>284.29000000000002</v>
      </c>
      <c r="H60" s="30"/>
      <c r="I60" s="25">
        <v>25</v>
      </c>
      <c r="K60" s="51"/>
    </row>
    <row r="61" spans="1:13" s="32" customFormat="1" ht="13.5" customHeight="1" x14ac:dyDescent="0.2">
      <c r="A61" s="26">
        <v>2147</v>
      </c>
      <c r="B61" s="10" t="s">
        <v>16</v>
      </c>
      <c r="C61" s="27">
        <v>4255.5600000000004</v>
      </c>
      <c r="D61" s="28">
        <v>345.08</v>
      </c>
      <c r="E61" s="28">
        <v>443.59</v>
      </c>
      <c r="F61" s="34">
        <f>C61/200*150</f>
        <v>3191.6700000000005</v>
      </c>
      <c r="G61" s="28">
        <v>335.09</v>
      </c>
      <c r="H61" s="30"/>
      <c r="I61" s="25">
        <v>30</v>
      </c>
      <c r="K61" s="36"/>
      <c r="L61" s="18"/>
      <c r="M61" s="18"/>
    </row>
    <row r="62" spans="1:13" s="32" customFormat="1" ht="13.5" customHeight="1" x14ac:dyDescent="0.2">
      <c r="A62" s="26">
        <v>2030</v>
      </c>
      <c r="B62" s="11" t="s">
        <v>16</v>
      </c>
      <c r="C62" s="27">
        <v>3132.31</v>
      </c>
      <c r="D62" s="28">
        <v>70.2</v>
      </c>
      <c r="E62" s="28">
        <v>404.75</v>
      </c>
      <c r="F62" s="29">
        <f>C62/200*200</f>
        <v>3132.31</v>
      </c>
      <c r="G62" s="28">
        <v>496.24</v>
      </c>
      <c r="H62" s="30"/>
      <c r="I62" s="25">
        <v>40</v>
      </c>
      <c r="K62" s="18"/>
      <c r="L62" s="18"/>
      <c r="M62" s="18"/>
    </row>
    <row r="63" spans="1:13" ht="13.5" customHeight="1" x14ac:dyDescent="0.2">
      <c r="A63" s="26">
        <v>1888</v>
      </c>
      <c r="B63" s="10" t="s">
        <v>16</v>
      </c>
      <c r="C63" s="27">
        <v>2475.7800000000002</v>
      </c>
      <c r="D63" s="28"/>
      <c r="E63" s="28">
        <v>281.26</v>
      </c>
      <c r="F63" s="29">
        <f>C63/150*150</f>
        <v>2475.7800000000002</v>
      </c>
      <c r="G63" s="28">
        <v>377.44</v>
      </c>
      <c r="H63" s="30"/>
      <c r="I63" s="25">
        <v>30</v>
      </c>
    </row>
    <row r="64" spans="1:13" ht="13.5" customHeight="1" x14ac:dyDescent="0.2">
      <c r="A64" s="26">
        <v>1736</v>
      </c>
      <c r="B64" s="10" t="s">
        <v>16</v>
      </c>
      <c r="C64" s="27">
        <v>3461.53</v>
      </c>
      <c r="D64" s="28">
        <v>124.97</v>
      </c>
      <c r="E64" s="28">
        <v>412.96</v>
      </c>
      <c r="F64" s="34">
        <f>C64/200*175</f>
        <v>3028.8387500000003</v>
      </c>
      <c r="G64" s="28">
        <v>488.5</v>
      </c>
      <c r="H64" s="30"/>
      <c r="I64" s="25">
        <v>35</v>
      </c>
      <c r="K64" s="32"/>
    </row>
    <row r="65" spans="1:13" ht="13.5" customHeight="1" x14ac:dyDescent="0.2">
      <c r="A65" s="26">
        <v>1714</v>
      </c>
      <c r="B65" s="10" t="s">
        <v>16</v>
      </c>
      <c r="C65" s="27">
        <v>3461.53</v>
      </c>
      <c r="D65" s="28">
        <v>35.71</v>
      </c>
      <c r="E65" s="28">
        <v>117.99</v>
      </c>
      <c r="F65" s="34">
        <f>C65/200*50</f>
        <v>865.38250000000016</v>
      </c>
      <c r="G65" s="28">
        <v>139.57</v>
      </c>
      <c r="H65" s="30"/>
      <c r="I65" s="25">
        <v>10</v>
      </c>
      <c r="K65" s="49"/>
    </row>
    <row r="66" spans="1:13" ht="13.5" customHeight="1" x14ac:dyDescent="0.2">
      <c r="A66" s="41">
        <v>2138</v>
      </c>
      <c r="B66" s="10" t="s">
        <v>16</v>
      </c>
      <c r="C66" s="27">
        <v>3678.78</v>
      </c>
      <c r="D66" s="28">
        <v>128.69</v>
      </c>
      <c r="E66" s="28">
        <v>338.84</v>
      </c>
      <c r="F66" s="34">
        <f>C66/150*125</f>
        <v>3065.65</v>
      </c>
      <c r="G66" s="28">
        <v>284.29000000000002</v>
      </c>
      <c r="H66" s="30"/>
      <c r="I66" s="25">
        <v>25</v>
      </c>
      <c r="K66" s="33"/>
      <c r="L66" s="33"/>
      <c r="M66" s="33"/>
    </row>
    <row r="67" spans="1:13" ht="13.5" customHeight="1" x14ac:dyDescent="0.2">
      <c r="A67" s="26">
        <v>1044</v>
      </c>
      <c r="B67" s="10" t="s">
        <v>16</v>
      </c>
      <c r="C67" s="27">
        <v>4246.3999999999996</v>
      </c>
      <c r="D67" s="28">
        <v>190.94</v>
      </c>
      <c r="E67" s="28">
        <v>296.07</v>
      </c>
      <c r="F67" s="34">
        <f>C67/200*100</f>
        <v>2123.1999999999998</v>
      </c>
      <c r="G67" s="28">
        <v>340.73</v>
      </c>
      <c r="H67" s="30"/>
      <c r="I67" s="25">
        <v>20</v>
      </c>
      <c r="K67" s="52"/>
    </row>
    <row r="68" spans="1:13" s="33" customFormat="1" ht="13.5" customHeight="1" x14ac:dyDescent="0.2">
      <c r="A68" s="26">
        <v>2032</v>
      </c>
      <c r="B68" s="10" t="s">
        <v>16</v>
      </c>
      <c r="C68" s="119">
        <v>2904.63</v>
      </c>
      <c r="D68" s="120">
        <v>4.1900000000000004</v>
      </c>
      <c r="E68" s="28">
        <v>59.62</v>
      </c>
      <c r="F68" s="34">
        <f>C68/180*30</f>
        <v>484.10500000000008</v>
      </c>
      <c r="G68" s="28">
        <v>74.91</v>
      </c>
      <c r="H68" s="44"/>
      <c r="I68" s="25">
        <v>6</v>
      </c>
      <c r="K68" s="32"/>
      <c r="L68" s="18"/>
      <c r="M68" s="18"/>
    </row>
    <row r="69" spans="1:13" s="33" customFormat="1" ht="13.5" customHeight="1" x14ac:dyDescent="0.2">
      <c r="A69" s="26">
        <v>1423</v>
      </c>
      <c r="B69" s="10" t="s">
        <v>16</v>
      </c>
      <c r="C69" s="27">
        <v>3490.32</v>
      </c>
      <c r="D69" s="28">
        <v>119.23</v>
      </c>
      <c r="E69" s="28">
        <v>382.21</v>
      </c>
      <c r="F69" s="34">
        <f>C69/200*160</f>
        <v>2792.2559999999999</v>
      </c>
      <c r="G69" s="28">
        <v>451.05</v>
      </c>
      <c r="H69" s="30"/>
      <c r="I69" s="25">
        <v>32</v>
      </c>
      <c r="K69" s="18"/>
      <c r="L69" s="18"/>
      <c r="M69" s="18"/>
    </row>
    <row r="70" spans="1:13" s="33" customFormat="1" ht="13.5" customHeight="1" x14ac:dyDescent="0.2">
      <c r="A70" s="40">
        <v>1732</v>
      </c>
      <c r="B70" s="10" t="s">
        <v>16</v>
      </c>
      <c r="C70" s="27">
        <v>3172.76</v>
      </c>
      <c r="D70" s="39">
        <v>19.71</v>
      </c>
      <c r="E70" s="39">
        <v>103.05</v>
      </c>
      <c r="F70" s="34">
        <f>C70/200*50</f>
        <v>793.19</v>
      </c>
      <c r="G70" s="39">
        <v>125.35</v>
      </c>
      <c r="H70" s="46"/>
      <c r="I70" s="47">
        <v>10</v>
      </c>
      <c r="K70" s="18"/>
      <c r="L70" s="18"/>
      <c r="M70" s="18"/>
    </row>
    <row r="71" spans="1:13" ht="13.5" customHeight="1" x14ac:dyDescent="0.25">
      <c r="A71" s="53">
        <v>2008</v>
      </c>
      <c r="B71" s="10" t="s">
        <v>16</v>
      </c>
      <c r="C71" s="27">
        <v>2493.19</v>
      </c>
      <c r="D71" s="28"/>
      <c r="E71" s="28">
        <v>283.77</v>
      </c>
      <c r="F71" s="29">
        <f>C71/150*150</f>
        <v>2493.19</v>
      </c>
      <c r="G71" s="28">
        <v>379.06</v>
      </c>
      <c r="H71" s="30"/>
      <c r="I71" s="25">
        <v>30</v>
      </c>
    </row>
    <row r="72" spans="1:13" ht="13.5" customHeight="1" x14ac:dyDescent="0.2">
      <c r="A72" s="26">
        <v>1894</v>
      </c>
      <c r="B72" s="11" t="s">
        <v>16</v>
      </c>
      <c r="C72" s="27">
        <v>1368.53</v>
      </c>
      <c r="D72" s="28"/>
      <c r="E72" s="28">
        <v>82.25</v>
      </c>
      <c r="F72" s="34">
        <f>C72/75*50</f>
        <v>912.35333333333324</v>
      </c>
      <c r="G72" s="28">
        <v>135.35</v>
      </c>
      <c r="H72" s="30"/>
      <c r="I72" s="25">
        <v>10</v>
      </c>
      <c r="K72" s="48"/>
    </row>
    <row r="73" spans="1:13" ht="13.5" customHeight="1" x14ac:dyDescent="0.2">
      <c r="A73" s="26">
        <v>1716</v>
      </c>
      <c r="B73" s="10" t="s">
        <v>16</v>
      </c>
      <c r="C73" s="27">
        <v>2769.6</v>
      </c>
      <c r="D73" s="28">
        <v>9.7100000000000009</v>
      </c>
      <c r="E73" s="28">
        <v>277.13</v>
      </c>
      <c r="F73" s="34">
        <f>C73/150*125</f>
        <v>2308</v>
      </c>
      <c r="G73" s="28">
        <v>354.6</v>
      </c>
      <c r="H73" s="30"/>
      <c r="I73" s="25">
        <v>25</v>
      </c>
      <c r="K73" s="48"/>
    </row>
    <row r="74" spans="1:13" ht="13.5" customHeight="1" x14ac:dyDescent="0.2">
      <c r="A74" s="26">
        <v>2002</v>
      </c>
      <c r="B74" s="2" t="s">
        <v>41</v>
      </c>
      <c r="C74" s="27">
        <v>2493.19</v>
      </c>
      <c r="D74" s="28"/>
      <c r="E74" s="28">
        <v>151.34</v>
      </c>
      <c r="F74" s="34">
        <f>C74/150*80</f>
        <v>1329.7013333333334</v>
      </c>
      <c r="G74" s="28">
        <v>202.17</v>
      </c>
      <c r="H74" s="30"/>
      <c r="I74" s="25">
        <v>16</v>
      </c>
      <c r="K74" s="32"/>
    </row>
    <row r="75" spans="1:13" ht="13.5" customHeight="1" x14ac:dyDescent="0.2">
      <c r="A75" s="26">
        <v>1841</v>
      </c>
      <c r="B75" s="101" t="s">
        <v>15</v>
      </c>
      <c r="C75" s="27">
        <v>1205.83</v>
      </c>
      <c r="D75" s="28"/>
      <c r="E75" s="28">
        <v>147.08000000000001</v>
      </c>
      <c r="F75" s="29">
        <f>C75/150*150</f>
        <v>1205.83</v>
      </c>
      <c r="G75" s="28">
        <v>416.97</v>
      </c>
      <c r="H75" s="30"/>
      <c r="I75" s="25">
        <v>30</v>
      </c>
      <c r="K75" s="49"/>
    </row>
    <row r="76" spans="1:13" ht="13.5" customHeight="1" x14ac:dyDescent="0.2">
      <c r="A76" s="40">
        <v>2000</v>
      </c>
      <c r="B76" s="2" t="s">
        <v>15</v>
      </c>
      <c r="C76" s="27">
        <v>2517.85</v>
      </c>
      <c r="D76" s="39"/>
      <c r="E76" s="39">
        <v>283.77</v>
      </c>
      <c r="F76" s="29">
        <f>C76/150*150</f>
        <v>2517.8500000000004</v>
      </c>
      <c r="G76" s="28">
        <v>379.06</v>
      </c>
      <c r="H76" s="30"/>
      <c r="I76" s="25">
        <v>30</v>
      </c>
      <c r="K76" s="48"/>
    </row>
    <row r="77" spans="1:13" ht="13.5" customHeight="1" x14ac:dyDescent="0.2">
      <c r="A77" s="40">
        <v>2195</v>
      </c>
      <c r="B77" s="2" t="s">
        <v>15</v>
      </c>
      <c r="C77" s="27">
        <v>958.25</v>
      </c>
      <c r="D77" s="39"/>
      <c r="E77" s="39">
        <v>85.28</v>
      </c>
      <c r="F77" s="29">
        <f>C77/150*150</f>
        <v>958.25</v>
      </c>
      <c r="G77" s="28">
        <v>90.97</v>
      </c>
      <c r="H77" s="30"/>
      <c r="I77" s="25">
        <v>30</v>
      </c>
      <c r="K77" s="32"/>
    </row>
    <row r="78" spans="1:13" ht="13.5" customHeight="1" x14ac:dyDescent="0.2">
      <c r="A78" s="26">
        <v>1921</v>
      </c>
      <c r="B78" s="2" t="s">
        <v>15</v>
      </c>
      <c r="C78" s="27">
        <v>2493.19</v>
      </c>
      <c r="D78" s="28"/>
      <c r="E78" s="28">
        <v>283.77</v>
      </c>
      <c r="F78" s="29">
        <f>C78/150*150</f>
        <v>2493.19</v>
      </c>
      <c r="G78" s="28">
        <v>379.06</v>
      </c>
      <c r="H78" s="30"/>
      <c r="I78" s="25">
        <v>30</v>
      </c>
      <c r="K78" s="106"/>
      <c r="L78" s="107"/>
      <c r="M78" s="107"/>
    </row>
    <row r="79" spans="1:13" ht="13.5" customHeight="1" x14ac:dyDescent="0.2">
      <c r="A79" s="26">
        <v>2003</v>
      </c>
      <c r="B79" s="2" t="s">
        <v>14</v>
      </c>
      <c r="C79" s="27">
        <v>3147.59</v>
      </c>
      <c r="D79" s="28">
        <v>73.23</v>
      </c>
      <c r="E79" s="28">
        <v>407</v>
      </c>
      <c r="F79" s="29">
        <f>C79/200*200</f>
        <v>3147.59</v>
      </c>
      <c r="G79" s="28">
        <v>496.42</v>
      </c>
      <c r="H79" s="30"/>
      <c r="I79" s="25">
        <v>40</v>
      </c>
      <c r="K79" s="32"/>
    </row>
    <row r="80" spans="1:13" ht="13.5" customHeight="1" x14ac:dyDescent="0.2">
      <c r="A80" s="26">
        <v>2146</v>
      </c>
      <c r="B80" s="2" t="s">
        <v>14</v>
      </c>
      <c r="C80" s="27">
        <v>3678.78</v>
      </c>
      <c r="D80" s="28">
        <v>154.43</v>
      </c>
      <c r="E80" s="28">
        <v>406.61</v>
      </c>
      <c r="F80" s="29">
        <f>C80/150*150</f>
        <v>3678.78</v>
      </c>
      <c r="G80" s="28">
        <v>341.15</v>
      </c>
      <c r="H80" s="30"/>
      <c r="I80" s="25">
        <v>30</v>
      </c>
      <c r="L80" s="32"/>
    </row>
    <row r="81" spans="1:13" ht="13.5" customHeight="1" x14ac:dyDescent="0.2">
      <c r="A81" s="26">
        <v>30</v>
      </c>
      <c r="B81" s="2" t="s">
        <v>31</v>
      </c>
      <c r="C81" s="27">
        <v>7777.38</v>
      </c>
      <c r="D81" s="28">
        <v>784.22</v>
      </c>
      <c r="E81" s="28">
        <v>285.49</v>
      </c>
      <c r="F81" s="34">
        <f>C81/200*100</f>
        <v>3888.6899999999996</v>
      </c>
      <c r="G81" s="28">
        <v>641.01</v>
      </c>
      <c r="H81" s="30"/>
      <c r="I81" s="25">
        <v>20</v>
      </c>
      <c r="L81" s="32"/>
    </row>
    <row r="82" spans="1:13" ht="13.5" customHeight="1" x14ac:dyDescent="0.2">
      <c r="A82" s="26">
        <v>1508</v>
      </c>
      <c r="B82" s="12" t="s">
        <v>32</v>
      </c>
      <c r="C82" s="27">
        <v>2108.19</v>
      </c>
      <c r="D82" s="28"/>
      <c r="E82" s="28">
        <v>201.78</v>
      </c>
      <c r="F82" s="34">
        <f>C82/220*200</f>
        <v>1916.5363636363636</v>
      </c>
      <c r="G82" s="28">
        <v>288.79000000000002</v>
      </c>
      <c r="H82" s="30"/>
      <c r="I82" s="25">
        <v>40</v>
      </c>
      <c r="K82" s="131"/>
    </row>
    <row r="83" spans="1:13" ht="13.5" customHeight="1" x14ac:dyDescent="0.2">
      <c r="A83" s="54">
        <v>2196</v>
      </c>
      <c r="B83" s="3" t="s">
        <v>33</v>
      </c>
      <c r="C83" s="27">
        <v>538.74</v>
      </c>
      <c r="D83" s="55"/>
      <c r="E83" s="55">
        <v>45.68</v>
      </c>
      <c r="F83" s="122">
        <f>C83/75*75</f>
        <v>538.74</v>
      </c>
      <c r="G83" s="55">
        <v>48.72</v>
      </c>
      <c r="H83" s="55"/>
      <c r="I83" s="56">
        <v>15</v>
      </c>
      <c r="K83" s="132"/>
    </row>
    <row r="84" spans="1:13" ht="13.5" customHeight="1" x14ac:dyDescent="0.2">
      <c r="A84" s="26">
        <v>1783</v>
      </c>
      <c r="B84" s="5" t="s">
        <v>33</v>
      </c>
      <c r="C84" s="27">
        <v>2761.66</v>
      </c>
      <c r="D84" s="28">
        <v>9.08</v>
      </c>
      <c r="E84" s="28">
        <v>276.07</v>
      </c>
      <c r="F84" s="34">
        <f>C84/150*125</f>
        <v>2301.3833333333332</v>
      </c>
      <c r="G84" s="28">
        <v>353.93</v>
      </c>
      <c r="H84" s="30"/>
      <c r="I84" s="25">
        <v>25</v>
      </c>
      <c r="K84" s="130"/>
    </row>
    <row r="85" spans="1:13" s="33" customFormat="1" ht="13.5" customHeight="1" x14ac:dyDescent="0.2">
      <c r="A85" s="26">
        <v>2059</v>
      </c>
      <c r="B85" s="5" t="s">
        <v>33</v>
      </c>
      <c r="C85" s="27">
        <v>2577.9899999999998</v>
      </c>
      <c r="D85" s="28"/>
      <c r="E85" s="28">
        <v>260.68</v>
      </c>
      <c r="F85" s="34">
        <f>C85/150*140</f>
        <v>2406.1239999999998</v>
      </c>
      <c r="G85" s="28">
        <v>349.33</v>
      </c>
      <c r="H85" s="30"/>
      <c r="I85" s="25">
        <v>28</v>
      </c>
      <c r="K85" s="50"/>
      <c r="L85" s="18"/>
      <c r="M85" s="18"/>
    </row>
    <row r="86" spans="1:13" ht="13.5" customHeight="1" x14ac:dyDescent="0.2">
      <c r="A86" s="26">
        <v>1577</v>
      </c>
      <c r="B86" s="5" t="s">
        <v>33</v>
      </c>
      <c r="C86" s="27">
        <v>3709.06</v>
      </c>
      <c r="D86" s="28">
        <v>139.38</v>
      </c>
      <c r="E86" s="28">
        <v>357.56</v>
      </c>
      <c r="F86" s="34">
        <f>C86/150*130</f>
        <v>3214.5186666666664</v>
      </c>
      <c r="G86" s="28">
        <v>298.62</v>
      </c>
      <c r="H86" s="30"/>
      <c r="I86" s="25">
        <v>26</v>
      </c>
      <c r="K86" s="49"/>
    </row>
    <row r="87" spans="1:13" ht="13.5" customHeight="1" x14ac:dyDescent="0.2">
      <c r="A87" s="26">
        <v>1904</v>
      </c>
      <c r="B87" s="5" t="s">
        <v>33</v>
      </c>
      <c r="C87" s="27">
        <v>2517.85</v>
      </c>
      <c r="D87" s="28"/>
      <c r="E87" s="28">
        <v>245.93</v>
      </c>
      <c r="F87" s="34">
        <f>C87/150*130</f>
        <v>2182.1366666666668</v>
      </c>
      <c r="G87" s="28">
        <v>328.52</v>
      </c>
      <c r="H87" s="30"/>
      <c r="I87" s="25">
        <v>26</v>
      </c>
      <c r="K87" s="32"/>
    </row>
    <row r="88" spans="1:13" s="33" customFormat="1" ht="13.5" customHeight="1" x14ac:dyDescent="0.2">
      <c r="A88" s="57"/>
      <c r="B88" s="57" t="s">
        <v>12</v>
      </c>
      <c r="C88" s="58">
        <f>SUM(C1:C87)</f>
        <v>253380.80000000002</v>
      </c>
      <c r="D88" s="59">
        <f>SUM(D1:D87)</f>
        <v>6840.8499999999985</v>
      </c>
      <c r="E88" s="59">
        <f>SUM(E1:E87)</f>
        <v>20112.730000000007</v>
      </c>
      <c r="F88" s="59">
        <f>SUM(F1:F87)</f>
        <v>174364.99922736204</v>
      </c>
      <c r="G88" s="59">
        <f>SUM(G1:G87)</f>
        <v>26375.780000000006</v>
      </c>
      <c r="H88" s="60">
        <f>SUM(H1:H77)</f>
        <v>860</v>
      </c>
      <c r="I88" s="148"/>
      <c r="J88" s="21"/>
      <c r="K88" s="18"/>
      <c r="L88" s="18"/>
      <c r="M88" s="18"/>
    </row>
    <row r="89" spans="1:13" ht="13.5" customHeight="1" x14ac:dyDescent="0.2">
      <c r="A89" s="81"/>
      <c r="B89" s="81"/>
      <c r="C89" s="125"/>
      <c r="D89" s="126"/>
      <c r="E89" s="126"/>
      <c r="F89" s="126"/>
      <c r="G89" s="126"/>
      <c r="H89" s="127"/>
    </row>
    <row r="90" spans="1:13" ht="13.5" customHeight="1" x14ac:dyDescent="0.25">
      <c r="A90" s="61"/>
      <c r="B90" s="62" t="s">
        <v>7</v>
      </c>
      <c r="C90" s="63"/>
      <c r="D90" s="64"/>
      <c r="K90" s="65"/>
    </row>
    <row r="91" spans="1:13" ht="13.5" customHeight="1" x14ac:dyDescent="0.25">
      <c r="A91" s="66" t="s">
        <v>6</v>
      </c>
      <c r="B91" s="142" t="s">
        <v>5</v>
      </c>
      <c r="C91" s="143" t="s">
        <v>0</v>
      </c>
      <c r="D91" s="144" t="s">
        <v>46</v>
      </c>
      <c r="E91" s="144" t="s">
        <v>1</v>
      </c>
      <c r="F91" s="144" t="s">
        <v>2</v>
      </c>
      <c r="G91" s="144" t="s">
        <v>3</v>
      </c>
      <c r="H91" s="145" t="s">
        <v>4</v>
      </c>
      <c r="I91" s="144" t="s">
        <v>47</v>
      </c>
      <c r="K91" s="67"/>
    </row>
    <row r="92" spans="1:13" s="118" customFormat="1" ht="13.5" customHeight="1" x14ac:dyDescent="0.25">
      <c r="A92" s="66">
        <v>2017</v>
      </c>
      <c r="B92" s="124" t="s">
        <v>20</v>
      </c>
      <c r="C92" s="27">
        <v>3168.93</v>
      </c>
      <c r="D92" s="68">
        <v>69.14</v>
      </c>
      <c r="E92" s="28">
        <v>359.42</v>
      </c>
      <c r="F92" s="29">
        <f t="shared" ref="F92:F98" si="0">C92/150*150</f>
        <v>3168.9299999999994</v>
      </c>
      <c r="G92" s="28">
        <v>356.32</v>
      </c>
      <c r="H92" s="30"/>
      <c r="I92" s="70">
        <v>30</v>
      </c>
      <c r="K92" s="52"/>
      <c r="L92" s="33"/>
      <c r="M92" s="18"/>
    </row>
    <row r="93" spans="1:13" ht="13.5" customHeight="1" x14ac:dyDescent="0.25">
      <c r="A93" s="71">
        <v>2025</v>
      </c>
      <c r="B93" s="2" t="s">
        <v>20</v>
      </c>
      <c r="C93" s="27">
        <v>3168.94</v>
      </c>
      <c r="D93" s="68">
        <v>69.14</v>
      </c>
      <c r="E93" s="28">
        <v>359.42</v>
      </c>
      <c r="F93" s="29">
        <f t="shared" si="0"/>
        <v>3168.94</v>
      </c>
      <c r="G93" s="28">
        <v>356.32</v>
      </c>
      <c r="H93" s="30"/>
      <c r="I93" s="70">
        <v>30</v>
      </c>
      <c r="J93" s="18"/>
      <c r="K93" s="36"/>
    </row>
    <row r="94" spans="1:13" ht="13.5" customHeight="1" x14ac:dyDescent="0.2">
      <c r="A94" s="37">
        <v>1971</v>
      </c>
      <c r="B94" s="2" t="s">
        <v>20</v>
      </c>
      <c r="C94" s="27">
        <v>2493.19</v>
      </c>
      <c r="D94" s="30"/>
      <c r="E94" s="28">
        <v>283.77</v>
      </c>
      <c r="F94" s="29">
        <f t="shared" si="0"/>
        <v>2493.19</v>
      </c>
      <c r="G94" s="28">
        <v>379.06</v>
      </c>
      <c r="H94" s="30"/>
      <c r="I94" s="25">
        <v>30</v>
      </c>
      <c r="J94" s="18"/>
      <c r="K94" s="36"/>
      <c r="L94" s="21"/>
    </row>
    <row r="95" spans="1:13" ht="13.5" customHeight="1" x14ac:dyDescent="0.25">
      <c r="A95" s="66">
        <v>1775</v>
      </c>
      <c r="B95" s="2" t="s">
        <v>20</v>
      </c>
      <c r="C95" s="27">
        <v>3268.89</v>
      </c>
      <c r="D95" s="68">
        <v>74.680000000000007</v>
      </c>
      <c r="E95" s="28">
        <v>364.6</v>
      </c>
      <c r="F95" s="29">
        <f t="shared" si="0"/>
        <v>3268.89</v>
      </c>
      <c r="G95" s="28">
        <v>359.88</v>
      </c>
      <c r="H95" s="30"/>
      <c r="I95" s="70">
        <v>30</v>
      </c>
      <c r="J95" s="18"/>
      <c r="K95" s="36"/>
    </row>
    <row r="96" spans="1:13" ht="13.5" customHeight="1" x14ac:dyDescent="0.25">
      <c r="A96" s="71">
        <v>1804</v>
      </c>
      <c r="B96" s="2" t="s">
        <v>20</v>
      </c>
      <c r="C96" s="27">
        <v>2541.35</v>
      </c>
      <c r="D96" s="68"/>
      <c r="E96" s="28">
        <v>287.75</v>
      </c>
      <c r="F96" s="29">
        <f t="shared" si="0"/>
        <v>2541.35</v>
      </c>
      <c r="G96" s="28">
        <v>382.85</v>
      </c>
      <c r="H96" s="30"/>
      <c r="I96" s="73">
        <v>30</v>
      </c>
      <c r="J96" s="18"/>
      <c r="K96" s="36"/>
    </row>
    <row r="97" spans="1:13" s="32" customFormat="1" ht="13.5" customHeight="1" x14ac:dyDescent="0.25">
      <c r="A97" s="66">
        <v>1886</v>
      </c>
      <c r="B97" s="2" t="s">
        <v>20</v>
      </c>
      <c r="C97" s="27">
        <v>2932.68</v>
      </c>
      <c r="D97" s="68"/>
      <c r="E97" s="28">
        <v>283.77</v>
      </c>
      <c r="F97" s="29">
        <f t="shared" si="0"/>
        <v>2932.68</v>
      </c>
      <c r="G97" s="28">
        <v>379.06</v>
      </c>
      <c r="H97" s="30"/>
      <c r="I97" s="70">
        <v>30</v>
      </c>
      <c r="K97" s="36"/>
      <c r="L97" s="18"/>
      <c r="M97" s="18"/>
    </row>
    <row r="98" spans="1:13" ht="13.5" customHeight="1" x14ac:dyDescent="0.25">
      <c r="A98" s="66">
        <v>2174</v>
      </c>
      <c r="B98" s="6" t="s">
        <v>20</v>
      </c>
      <c r="C98" s="27">
        <v>3678.78</v>
      </c>
      <c r="D98" s="68">
        <v>154.43</v>
      </c>
      <c r="E98" s="28">
        <v>406.61</v>
      </c>
      <c r="F98" s="29">
        <f t="shared" si="0"/>
        <v>3678.78</v>
      </c>
      <c r="G98" s="28">
        <v>341.15</v>
      </c>
      <c r="H98" s="69"/>
      <c r="I98" s="70">
        <v>30</v>
      </c>
      <c r="J98" s="18"/>
      <c r="K98" s="36"/>
    </row>
    <row r="99" spans="1:13" ht="13.5" customHeight="1" x14ac:dyDescent="0.25">
      <c r="A99" s="110">
        <v>1394</v>
      </c>
      <c r="B99" s="7" t="s">
        <v>44</v>
      </c>
      <c r="C99" s="112">
        <v>1863.36</v>
      </c>
      <c r="D99" s="113"/>
      <c r="E99" s="114">
        <v>171.84</v>
      </c>
      <c r="F99" s="111">
        <f>C99/200*200</f>
        <v>1863.3599999999997</v>
      </c>
      <c r="G99" s="114">
        <v>172.99</v>
      </c>
      <c r="H99" s="115"/>
      <c r="I99" s="116">
        <v>40</v>
      </c>
      <c r="J99" s="18"/>
      <c r="K99" s="75"/>
      <c r="L99" s="32"/>
      <c r="M99" s="32"/>
    </row>
    <row r="100" spans="1:13" ht="13.5" customHeight="1" x14ac:dyDescent="0.25">
      <c r="A100" s="66">
        <v>1782</v>
      </c>
      <c r="B100" s="13" t="s">
        <v>8</v>
      </c>
      <c r="C100" s="27">
        <v>3137.24</v>
      </c>
      <c r="D100" s="68">
        <v>19.48</v>
      </c>
      <c r="E100" s="28">
        <v>143.58000000000001</v>
      </c>
      <c r="F100" s="34">
        <f>C100/220*100</f>
        <v>1426.0181818181816</v>
      </c>
      <c r="G100" s="28">
        <v>128.02000000000001</v>
      </c>
      <c r="H100" s="30"/>
      <c r="I100" s="25">
        <v>20</v>
      </c>
      <c r="J100" s="18"/>
      <c r="K100" s="52"/>
      <c r="L100" s="32"/>
      <c r="M100" s="32"/>
    </row>
    <row r="101" spans="1:13" ht="13.5" customHeight="1" x14ac:dyDescent="0.25">
      <c r="A101" s="66">
        <v>1639</v>
      </c>
      <c r="B101" s="6" t="s">
        <v>42</v>
      </c>
      <c r="C101" s="27">
        <v>1430.84</v>
      </c>
      <c r="D101" s="68"/>
      <c r="E101" s="28">
        <v>127.15</v>
      </c>
      <c r="F101" s="29">
        <f t="shared" ref="F101:F109" si="1">C101/200*200</f>
        <v>1430.84</v>
      </c>
      <c r="G101" s="28">
        <v>208.6</v>
      </c>
      <c r="H101" s="30">
        <v>215</v>
      </c>
      <c r="I101" s="70">
        <v>40</v>
      </c>
      <c r="J101" s="18"/>
      <c r="K101" s="36"/>
    </row>
    <row r="102" spans="1:13" ht="13.5" customHeight="1" x14ac:dyDescent="0.25">
      <c r="A102" s="22">
        <v>1548</v>
      </c>
      <c r="B102" s="6" t="s">
        <v>42</v>
      </c>
      <c r="C102" s="27">
        <v>1132.22</v>
      </c>
      <c r="D102" s="68"/>
      <c r="E102" s="28">
        <v>127.15</v>
      </c>
      <c r="F102" s="29">
        <f t="shared" si="1"/>
        <v>1132.22</v>
      </c>
      <c r="G102" s="28">
        <v>208.6</v>
      </c>
      <c r="H102" s="69">
        <v>215</v>
      </c>
      <c r="I102" s="70">
        <v>40</v>
      </c>
      <c r="J102" s="18"/>
      <c r="K102" s="75"/>
      <c r="L102" s="32"/>
      <c r="M102" s="32"/>
    </row>
    <row r="103" spans="1:13" ht="13.5" customHeight="1" x14ac:dyDescent="0.25">
      <c r="A103" s="66">
        <v>1969</v>
      </c>
      <c r="B103" s="6" t="s">
        <v>42</v>
      </c>
      <c r="C103" s="27">
        <v>1826.73</v>
      </c>
      <c r="D103" s="68"/>
      <c r="E103" s="28">
        <v>162.34</v>
      </c>
      <c r="F103" s="29">
        <f t="shared" si="1"/>
        <v>1826.7299999999998</v>
      </c>
      <c r="G103" s="28">
        <v>194.14</v>
      </c>
      <c r="H103" s="69">
        <v>215</v>
      </c>
      <c r="I103" s="70">
        <v>40</v>
      </c>
      <c r="J103" s="18"/>
      <c r="K103" s="36"/>
    </row>
    <row r="104" spans="1:13" ht="13.5" customHeight="1" x14ac:dyDescent="0.25">
      <c r="A104" s="71">
        <v>2016</v>
      </c>
      <c r="B104" s="6" t="s">
        <v>42</v>
      </c>
      <c r="C104" s="27">
        <v>1271.04</v>
      </c>
      <c r="D104" s="72"/>
      <c r="E104" s="39">
        <v>125.75</v>
      </c>
      <c r="F104" s="29">
        <f t="shared" si="1"/>
        <v>1271.04</v>
      </c>
      <c r="G104" s="39">
        <v>206.53</v>
      </c>
      <c r="H104" s="69">
        <v>215</v>
      </c>
      <c r="I104" s="73">
        <v>40</v>
      </c>
      <c r="J104" s="18"/>
      <c r="K104" s="36"/>
    </row>
    <row r="105" spans="1:13" s="76" customFormat="1" ht="13.5" customHeight="1" x14ac:dyDescent="0.25">
      <c r="A105" s="66">
        <v>1533</v>
      </c>
      <c r="B105" s="6" t="s">
        <v>42</v>
      </c>
      <c r="C105" s="27">
        <v>1406.18</v>
      </c>
      <c r="D105" s="68"/>
      <c r="E105" s="28">
        <v>127.15</v>
      </c>
      <c r="F105" s="29">
        <f t="shared" si="1"/>
        <v>1406.18</v>
      </c>
      <c r="G105" s="28">
        <v>208.6</v>
      </c>
      <c r="H105" s="69">
        <v>215</v>
      </c>
      <c r="I105" s="70">
        <v>40</v>
      </c>
      <c r="K105" s="52"/>
      <c r="L105" s="18"/>
      <c r="M105" s="18"/>
    </row>
    <row r="106" spans="1:13" s="76" customFormat="1" ht="13.5" customHeight="1" x14ac:dyDescent="0.25">
      <c r="A106" s="66">
        <v>405</v>
      </c>
      <c r="B106" s="6" t="s">
        <v>42</v>
      </c>
      <c r="C106" s="27">
        <v>1475.88</v>
      </c>
      <c r="D106" s="68"/>
      <c r="E106" s="28">
        <v>134.12</v>
      </c>
      <c r="F106" s="29">
        <f t="shared" si="1"/>
        <v>1475.88</v>
      </c>
      <c r="G106" s="28">
        <v>218.92</v>
      </c>
      <c r="H106" s="69">
        <v>215</v>
      </c>
      <c r="I106" s="70">
        <v>40</v>
      </c>
      <c r="K106" s="36"/>
      <c r="L106" s="18"/>
      <c r="M106" s="18"/>
    </row>
    <row r="107" spans="1:13" s="76" customFormat="1" ht="13.5" customHeight="1" x14ac:dyDescent="0.25">
      <c r="A107" s="133">
        <v>1907</v>
      </c>
      <c r="B107" s="7" t="s">
        <v>42</v>
      </c>
      <c r="C107" s="134">
        <v>2112.54</v>
      </c>
      <c r="D107" s="135"/>
      <c r="E107" s="136">
        <v>186.34</v>
      </c>
      <c r="F107" s="137">
        <f t="shared" si="1"/>
        <v>2112.54</v>
      </c>
      <c r="G107" s="136">
        <v>185.88</v>
      </c>
      <c r="H107" s="138">
        <v>215</v>
      </c>
      <c r="I107" s="139">
        <v>40</v>
      </c>
      <c r="K107" s="36"/>
      <c r="L107" s="18"/>
      <c r="M107" s="18"/>
    </row>
    <row r="108" spans="1:13" ht="13.5" customHeight="1" x14ac:dyDescent="0.25">
      <c r="A108" s="66">
        <v>1885</v>
      </c>
      <c r="B108" s="6" t="s">
        <v>42</v>
      </c>
      <c r="C108" s="27">
        <v>1460.69</v>
      </c>
      <c r="D108" s="68"/>
      <c r="E108" s="28">
        <v>131.01</v>
      </c>
      <c r="F108" s="29">
        <f t="shared" si="1"/>
        <v>1460.69</v>
      </c>
      <c r="G108" s="28">
        <v>203.66</v>
      </c>
      <c r="H108" s="69">
        <v>215</v>
      </c>
      <c r="I108" s="70">
        <v>40</v>
      </c>
      <c r="J108" s="18"/>
      <c r="K108" s="36"/>
    </row>
    <row r="109" spans="1:13" ht="13.5" customHeight="1" x14ac:dyDescent="0.25">
      <c r="A109" s="71">
        <v>2019</v>
      </c>
      <c r="B109" s="6" t="s">
        <v>42</v>
      </c>
      <c r="C109" s="27">
        <v>1392.24</v>
      </c>
      <c r="D109" s="72"/>
      <c r="E109" s="39">
        <v>125.75</v>
      </c>
      <c r="F109" s="29">
        <f t="shared" si="1"/>
        <v>1392.24</v>
      </c>
      <c r="G109" s="39">
        <v>206.53</v>
      </c>
      <c r="H109" s="69">
        <v>215</v>
      </c>
      <c r="I109" s="73">
        <v>40</v>
      </c>
      <c r="J109" s="18"/>
      <c r="K109" s="52"/>
      <c r="L109" s="32"/>
      <c r="M109" s="32"/>
    </row>
    <row r="110" spans="1:13" ht="13.5" customHeight="1" x14ac:dyDescent="0.25">
      <c r="A110" s="41">
        <v>1619</v>
      </c>
      <c r="B110" s="6" t="s">
        <v>34</v>
      </c>
      <c r="C110" s="27">
        <v>2776.19</v>
      </c>
      <c r="D110" s="68">
        <v>5.47</v>
      </c>
      <c r="E110" s="28">
        <v>148.35</v>
      </c>
      <c r="F110" s="34">
        <f>C110/180*80</f>
        <v>1233.8622222222223</v>
      </c>
      <c r="G110" s="28">
        <v>189.64</v>
      </c>
      <c r="H110" s="30"/>
      <c r="I110" s="70">
        <v>16</v>
      </c>
      <c r="J110" s="18"/>
      <c r="K110" s="75"/>
      <c r="L110" s="32"/>
      <c r="M110" s="32"/>
    </row>
    <row r="111" spans="1:13" ht="13.5" customHeight="1" x14ac:dyDescent="0.25">
      <c r="A111" s="66">
        <v>1784</v>
      </c>
      <c r="B111" s="6" t="s">
        <v>35</v>
      </c>
      <c r="C111" s="27">
        <v>2372.35</v>
      </c>
      <c r="D111" s="68"/>
      <c r="E111" s="28">
        <v>259.13</v>
      </c>
      <c r="F111" s="29">
        <f>C111/150*150</f>
        <v>2372.35</v>
      </c>
      <c r="G111" s="28">
        <v>355.59</v>
      </c>
      <c r="H111" s="30"/>
      <c r="I111" s="70">
        <v>30</v>
      </c>
      <c r="J111" s="18"/>
      <c r="K111" s="52"/>
      <c r="L111" s="32"/>
      <c r="M111" s="32"/>
    </row>
    <row r="112" spans="1:13" ht="13.5" customHeight="1" x14ac:dyDescent="0.2">
      <c r="A112" s="41">
        <v>1616</v>
      </c>
      <c r="B112" s="6" t="s">
        <v>36</v>
      </c>
      <c r="C112" s="27">
        <v>3034.44</v>
      </c>
      <c r="D112" s="29">
        <v>12.04</v>
      </c>
      <c r="E112" s="28">
        <v>95.9</v>
      </c>
      <c r="F112" s="34">
        <f>C112/200*50</f>
        <v>758.61</v>
      </c>
      <c r="G112" s="77">
        <v>118.53</v>
      </c>
      <c r="H112" s="30"/>
      <c r="I112" s="78">
        <v>10</v>
      </c>
      <c r="J112" s="18"/>
      <c r="K112" s="36"/>
    </row>
    <row r="113" spans="1:13" s="141" customFormat="1" ht="13.5" customHeight="1" x14ac:dyDescent="0.2">
      <c r="A113" s="41">
        <v>1206</v>
      </c>
      <c r="B113" s="6" t="s">
        <v>36</v>
      </c>
      <c r="C113" s="27">
        <v>2685.06</v>
      </c>
      <c r="D113" s="29">
        <v>0.25</v>
      </c>
      <c r="E113" s="28">
        <v>104.07</v>
      </c>
      <c r="F113" s="34">
        <f>C113/150*50</f>
        <v>895.0200000000001</v>
      </c>
      <c r="G113" s="77">
        <v>135.38</v>
      </c>
      <c r="H113" s="30"/>
      <c r="I113" s="78">
        <v>10</v>
      </c>
      <c r="K113" s="140"/>
    </row>
    <row r="114" spans="1:13" ht="13.5" customHeight="1" x14ac:dyDescent="0.25">
      <c r="A114" s="66">
        <v>1175</v>
      </c>
      <c r="B114" s="6" t="s">
        <v>36</v>
      </c>
      <c r="C114" s="27">
        <v>3410.51</v>
      </c>
      <c r="D114" s="68">
        <v>22.51</v>
      </c>
      <c r="E114" s="28">
        <v>113.59</v>
      </c>
      <c r="F114" s="34">
        <f>C114/200*50</f>
        <v>852.62750000000005</v>
      </c>
      <c r="G114" s="28">
        <v>135.38999999999999</v>
      </c>
      <c r="H114" s="30"/>
      <c r="I114" s="70">
        <v>10</v>
      </c>
      <c r="J114" s="18"/>
      <c r="K114" s="36"/>
    </row>
    <row r="115" spans="1:13" ht="13.5" customHeight="1" x14ac:dyDescent="0.25">
      <c r="A115" s="66">
        <v>1657</v>
      </c>
      <c r="B115" s="6" t="s">
        <v>37</v>
      </c>
      <c r="C115" s="27">
        <v>1514.82</v>
      </c>
      <c r="D115" s="68"/>
      <c r="E115" s="28">
        <v>134.13999999999999</v>
      </c>
      <c r="F115" s="34">
        <f>C115/140*80</f>
        <v>865.61142857142852</v>
      </c>
      <c r="G115" s="28">
        <v>189.65</v>
      </c>
      <c r="H115" s="30"/>
      <c r="I115" s="70">
        <v>16</v>
      </c>
      <c r="J115" s="18"/>
      <c r="K115" s="36"/>
    </row>
    <row r="116" spans="1:13" ht="13.5" customHeight="1" x14ac:dyDescent="0.25">
      <c r="A116" s="66">
        <v>758</v>
      </c>
      <c r="B116" s="6" t="s">
        <v>38</v>
      </c>
      <c r="C116" s="27">
        <v>2993.62</v>
      </c>
      <c r="D116" s="68">
        <v>26.07</v>
      </c>
      <c r="E116" s="28">
        <v>250.09</v>
      </c>
      <c r="F116" s="34">
        <f>C116/150*100</f>
        <v>1995.7466666666664</v>
      </c>
      <c r="G116" s="28">
        <v>310.72000000000003</v>
      </c>
      <c r="H116" s="74"/>
      <c r="I116" s="70">
        <v>20</v>
      </c>
      <c r="J116" s="18"/>
      <c r="K116" s="36"/>
    </row>
    <row r="117" spans="1:13" ht="13.5" customHeight="1" x14ac:dyDescent="0.25">
      <c r="A117" s="66">
        <v>1051</v>
      </c>
      <c r="B117" s="6" t="s">
        <v>39</v>
      </c>
      <c r="C117" s="27">
        <v>2840.84</v>
      </c>
      <c r="D117" s="68">
        <v>12.51</v>
      </c>
      <c r="E117" s="28">
        <v>230.55</v>
      </c>
      <c r="F117" s="34">
        <f>C117/150*100</f>
        <v>1893.8933333333334</v>
      </c>
      <c r="G117" s="28">
        <v>292.11</v>
      </c>
      <c r="H117" s="74"/>
      <c r="I117" s="70">
        <v>20</v>
      </c>
      <c r="J117" s="18"/>
      <c r="K117" s="36"/>
      <c r="L117" s="21"/>
    </row>
    <row r="118" spans="1:13" ht="13.5" customHeight="1" x14ac:dyDescent="0.25">
      <c r="A118" s="41">
        <v>1889</v>
      </c>
      <c r="B118" s="6" t="s">
        <v>39</v>
      </c>
      <c r="C118" s="27">
        <v>3638.75</v>
      </c>
      <c r="D118" s="29">
        <v>73.23</v>
      </c>
      <c r="E118" s="28">
        <v>404.23</v>
      </c>
      <c r="F118" s="29">
        <f>C118/200*200</f>
        <v>3638.7500000000005</v>
      </c>
      <c r="G118" s="28">
        <v>484.68</v>
      </c>
      <c r="H118" s="74"/>
      <c r="I118" s="70">
        <v>40</v>
      </c>
      <c r="J118" s="18"/>
      <c r="K118" s="52"/>
    </row>
    <row r="119" spans="1:13" ht="13.5" customHeight="1" x14ac:dyDescent="0.25">
      <c r="A119" s="66">
        <v>1321</v>
      </c>
      <c r="B119" s="6" t="s">
        <v>39</v>
      </c>
      <c r="C119" s="27">
        <v>2563.69</v>
      </c>
      <c r="D119" s="68"/>
      <c r="E119" s="28">
        <v>197.14</v>
      </c>
      <c r="F119" s="34">
        <f>C119/150*100</f>
        <v>1709.1266666666666</v>
      </c>
      <c r="G119" s="28">
        <v>260.29000000000002</v>
      </c>
      <c r="H119" s="74"/>
      <c r="I119" s="70">
        <v>20</v>
      </c>
      <c r="J119" s="18"/>
      <c r="K119" s="36"/>
    </row>
    <row r="120" spans="1:13" ht="13.5" customHeight="1" x14ac:dyDescent="0.25">
      <c r="A120" s="41">
        <v>1893</v>
      </c>
      <c r="B120" s="6" t="s">
        <v>39</v>
      </c>
      <c r="C120" s="27">
        <v>4114.38</v>
      </c>
      <c r="D120" s="68">
        <v>73.23</v>
      </c>
      <c r="E120" s="28">
        <v>410.66</v>
      </c>
      <c r="F120" s="29">
        <f>C120/200*200</f>
        <v>4114.38</v>
      </c>
      <c r="G120" s="28">
        <v>512.85</v>
      </c>
      <c r="H120" s="74"/>
      <c r="I120" s="70">
        <v>40</v>
      </c>
      <c r="J120" s="18"/>
      <c r="K120" s="36"/>
    </row>
    <row r="121" spans="1:13" ht="13.5" customHeight="1" x14ac:dyDescent="0.2">
      <c r="A121" s="41">
        <v>1714</v>
      </c>
      <c r="B121" s="6" t="s">
        <v>39</v>
      </c>
      <c r="C121" s="27">
        <v>3461.53</v>
      </c>
      <c r="D121" s="29">
        <v>71.41</v>
      </c>
      <c r="E121" s="28">
        <v>235.98</v>
      </c>
      <c r="F121" s="34">
        <f>C121/200*100</f>
        <v>1730.7650000000003</v>
      </c>
      <c r="G121" s="28">
        <v>279.14</v>
      </c>
      <c r="H121" s="30"/>
      <c r="I121" s="78">
        <v>20</v>
      </c>
      <c r="J121" s="18"/>
      <c r="K121" s="117"/>
      <c r="L121" s="118"/>
      <c r="M121" s="118"/>
    </row>
    <row r="122" spans="1:13" ht="13.5" customHeight="1" x14ac:dyDescent="0.2">
      <c r="A122" s="26"/>
      <c r="B122" s="57" t="s">
        <v>12</v>
      </c>
      <c r="C122" s="80">
        <f t="shared" ref="C122:H122" si="2">SUM(C92:C121)</f>
        <v>75167.900000000009</v>
      </c>
      <c r="D122" s="23">
        <f t="shared" si="2"/>
        <v>683.59</v>
      </c>
      <c r="E122" s="23">
        <f t="shared" si="2"/>
        <v>6491.3499999999995</v>
      </c>
      <c r="F122" s="23">
        <f t="shared" si="2"/>
        <v>60111.240999278496</v>
      </c>
      <c r="G122" s="23">
        <f t="shared" si="2"/>
        <v>7961.0800000000008</v>
      </c>
      <c r="H122" s="23">
        <f t="shared" si="2"/>
        <v>1935</v>
      </c>
      <c r="I122" s="25"/>
      <c r="J122" s="18"/>
      <c r="K122" s="81"/>
    </row>
    <row r="125" spans="1:13" ht="13.5" customHeight="1" x14ac:dyDescent="0.25">
      <c r="A125" s="61"/>
      <c r="B125" s="82" t="s">
        <v>9</v>
      </c>
      <c r="C125" s="63"/>
      <c r="D125" s="64"/>
      <c r="K125" s="67"/>
    </row>
    <row r="126" spans="1:13" s="33" customFormat="1" ht="13.5" customHeight="1" x14ac:dyDescent="0.25">
      <c r="A126" s="22" t="s">
        <v>6</v>
      </c>
      <c r="B126" s="142" t="s">
        <v>5</v>
      </c>
      <c r="C126" s="143" t="s">
        <v>0</v>
      </c>
      <c r="D126" s="144" t="s">
        <v>46</v>
      </c>
      <c r="E126" s="144" t="s">
        <v>1</v>
      </c>
      <c r="F126" s="144" t="s">
        <v>2</v>
      </c>
      <c r="G126" s="144" t="s">
        <v>3</v>
      </c>
      <c r="H126" s="145" t="s">
        <v>4</v>
      </c>
      <c r="I126" s="144" t="s">
        <v>47</v>
      </c>
      <c r="J126" s="21"/>
      <c r="K126" s="67"/>
      <c r="M126" s="18"/>
    </row>
    <row r="127" spans="1:13" s="33" customFormat="1" ht="13.5" customHeight="1" x14ac:dyDescent="0.25">
      <c r="A127" s="22">
        <v>1263</v>
      </c>
      <c r="B127" s="4" t="s">
        <v>20</v>
      </c>
      <c r="C127" s="27">
        <v>3419.64</v>
      </c>
      <c r="D127" s="69">
        <v>30.19</v>
      </c>
      <c r="E127" s="28">
        <v>197.5</v>
      </c>
      <c r="F127" s="34">
        <f>C127/150*75</f>
        <v>1709.82</v>
      </c>
      <c r="G127" s="28">
        <v>242.5</v>
      </c>
      <c r="H127" s="30"/>
      <c r="I127" s="25">
        <v>15</v>
      </c>
      <c r="K127" s="48"/>
      <c r="M127" s="18"/>
    </row>
    <row r="128" spans="1:13" s="33" customFormat="1" ht="13.5" customHeight="1" x14ac:dyDescent="0.25">
      <c r="A128" s="22">
        <v>2029</v>
      </c>
      <c r="B128" s="14" t="s">
        <v>40</v>
      </c>
      <c r="C128" s="27">
        <v>395.44</v>
      </c>
      <c r="D128" s="68"/>
      <c r="E128" s="39">
        <v>34.07</v>
      </c>
      <c r="F128" s="137">
        <f>C128/50*50</f>
        <v>395.44</v>
      </c>
      <c r="G128" s="28">
        <v>60.55</v>
      </c>
      <c r="H128" s="30"/>
      <c r="I128" s="70">
        <v>10</v>
      </c>
      <c r="K128" s="51"/>
      <c r="L128" s="18"/>
      <c r="M128" s="18"/>
    </row>
    <row r="129" spans="1:13" s="33" customFormat="1" ht="13.5" customHeight="1" x14ac:dyDescent="0.25">
      <c r="A129" s="53">
        <v>1812</v>
      </c>
      <c r="B129" s="14" t="s">
        <v>40</v>
      </c>
      <c r="C129" s="27">
        <v>1236.6300000000001</v>
      </c>
      <c r="D129" s="68"/>
      <c r="E129" s="39">
        <v>73.459999999999994</v>
      </c>
      <c r="F129" s="34">
        <f>C129/150*100</f>
        <v>824.42000000000007</v>
      </c>
      <c r="G129" s="28">
        <v>122.32</v>
      </c>
      <c r="H129" s="30"/>
      <c r="I129" s="73">
        <v>20</v>
      </c>
      <c r="K129" s="75"/>
      <c r="M129" s="18"/>
    </row>
    <row r="130" spans="1:13" ht="13.5" customHeight="1" x14ac:dyDescent="0.25">
      <c r="A130" s="22">
        <v>1223</v>
      </c>
      <c r="B130" s="14" t="s">
        <v>40</v>
      </c>
      <c r="C130" s="27">
        <v>408.03</v>
      </c>
      <c r="D130" s="68"/>
      <c r="E130" s="39">
        <v>35.090000000000003</v>
      </c>
      <c r="F130" s="29">
        <f>C130/50*50</f>
        <v>408.02999999999992</v>
      </c>
      <c r="G130" s="28">
        <v>62.37</v>
      </c>
      <c r="H130" s="30"/>
      <c r="I130" s="70">
        <v>10</v>
      </c>
      <c r="J130" s="18"/>
      <c r="L130" s="33"/>
    </row>
    <row r="131" spans="1:13" ht="13.5" customHeight="1" x14ac:dyDescent="0.25">
      <c r="A131" s="83">
        <v>1832</v>
      </c>
      <c r="B131" s="6" t="s">
        <v>39</v>
      </c>
      <c r="C131" s="27">
        <v>3693.64</v>
      </c>
      <c r="D131" s="70">
        <v>71.38</v>
      </c>
      <c r="E131" s="39">
        <v>177.73</v>
      </c>
      <c r="F131" s="34">
        <f>C131/220*75</f>
        <v>1259.1954545454546</v>
      </c>
      <c r="G131" s="31">
        <v>206.36</v>
      </c>
      <c r="H131" s="25"/>
      <c r="I131" s="73">
        <v>15</v>
      </c>
      <c r="J131" s="18"/>
      <c r="K131" s="51"/>
    </row>
    <row r="132" spans="1:13" ht="13.5" customHeight="1" x14ac:dyDescent="0.25">
      <c r="A132" s="26"/>
      <c r="B132" s="57" t="s">
        <v>12</v>
      </c>
      <c r="C132" s="84">
        <f>SUM(C127:C131)</f>
        <v>9153.3799999999992</v>
      </c>
      <c r="D132" s="85">
        <f>SUM(D127:D131)</f>
        <v>101.57</v>
      </c>
      <c r="E132" s="86">
        <f>SUM(E127:E131)</f>
        <v>517.85</v>
      </c>
      <c r="F132" s="23">
        <f>SUM(F127:F131)</f>
        <v>4596.9054545454546</v>
      </c>
      <c r="G132" s="86">
        <f>SUM(G127:G131)</f>
        <v>694.1</v>
      </c>
      <c r="H132" s="30"/>
      <c r="I132" s="25"/>
      <c r="J132" s="18"/>
      <c r="K132" s="81"/>
    </row>
    <row r="136" spans="1:13" ht="13.5" customHeight="1" x14ac:dyDescent="0.25">
      <c r="A136" s="87"/>
      <c r="B136" s="17" t="s">
        <v>10</v>
      </c>
      <c r="C136" s="17"/>
      <c r="D136" s="88"/>
      <c r="E136" s="89"/>
      <c r="F136" s="20"/>
      <c r="G136" s="20"/>
      <c r="H136" s="88"/>
      <c r="I136" s="15"/>
      <c r="J136" s="90"/>
      <c r="K136" s="17"/>
    </row>
    <row r="137" spans="1:13" ht="13.5" customHeight="1" x14ac:dyDescent="0.25">
      <c r="A137" s="91" t="s">
        <v>6</v>
      </c>
      <c r="B137" s="142" t="s">
        <v>5</v>
      </c>
      <c r="C137" s="143" t="s">
        <v>0</v>
      </c>
      <c r="D137" s="144" t="s">
        <v>46</v>
      </c>
      <c r="E137" s="144" t="s">
        <v>1</v>
      </c>
      <c r="F137" s="144" t="s">
        <v>2</v>
      </c>
      <c r="G137" s="144" t="s">
        <v>3</v>
      </c>
      <c r="H137" s="145" t="s">
        <v>4</v>
      </c>
      <c r="I137" s="144" t="s">
        <v>47</v>
      </c>
      <c r="J137" s="147"/>
      <c r="K137" s="67"/>
    </row>
    <row r="138" spans="1:13" ht="13.5" customHeight="1" x14ac:dyDescent="0.25">
      <c r="A138" s="93">
        <v>1175</v>
      </c>
      <c r="B138" s="6" t="s">
        <v>36</v>
      </c>
      <c r="C138" s="94">
        <v>3410.51</v>
      </c>
      <c r="D138" s="69">
        <v>45.02</v>
      </c>
      <c r="E138" s="69">
        <v>227.19</v>
      </c>
      <c r="F138" s="34">
        <f>C138/200*100</f>
        <v>1705.2550000000001</v>
      </c>
      <c r="G138" s="30">
        <v>270.77</v>
      </c>
      <c r="H138" s="69"/>
      <c r="I138" s="79">
        <v>20</v>
      </c>
      <c r="J138" s="18"/>
      <c r="K138" s="50"/>
    </row>
    <row r="139" spans="1:13" ht="13.5" customHeight="1" x14ac:dyDescent="0.25">
      <c r="A139" s="95">
        <v>1243</v>
      </c>
      <c r="B139" s="2" t="s">
        <v>18</v>
      </c>
      <c r="C139" s="94">
        <v>3089.63</v>
      </c>
      <c r="D139" s="69">
        <v>24.16</v>
      </c>
      <c r="E139" s="69">
        <v>158</v>
      </c>
      <c r="F139" s="34">
        <f>C139/150*60</f>
        <v>1235.8520000000001</v>
      </c>
      <c r="G139" s="30">
        <v>194</v>
      </c>
      <c r="H139" s="69"/>
      <c r="I139" s="79">
        <v>12</v>
      </c>
      <c r="J139" s="18"/>
      <c r="K139" s="50"/>
    </row>
    <row r="140" spans="1:13" ht="13.5" customHeight="1" x14ac:dyDescent="0.25">
      <c r="A140" s="96">
        <v>1190</v>
      </c>
      <c r="B140" s="2" t="s">
        <v>18</v>
      </c>
      <c r="C140" s="94">
        <v>3419.63</v>
      </c>
      <c r="D140" s="69">
        <v>20.13</v>
      </c>
      <c r="E140" s="69">
        <v>131.66999999999999</v>
      </c>
      <c r="F140" s="34">
        <f>C140/150*50</f>
        <v>1139.8766666666668</v>
      </c>
      <c r="G140" s="30">
        <v>161.66999999999999</v>
      </c>
      <c r="H140" s="69"/>
      <c r="I140" s="79">
        <v>10</v>
      </c>
      <c r="J140" s="18"/>
      <c r="K140" s="16"/>
    </row>
    <row r="141" spans="1:13" ht="13.5" customHeight="1" x14ac:dyDescent="0.25">
      <c r="A141" s="97">
        <v>403</v>
      </c>
      <c r="B141" s="9" t="s">
        <v>17</v>
      </c>
      <c r="C141" s="94">
        <v>3136.68</v>
      </c>
      <c r="D141" s="69">
        <v>25.43</v>
      </c>
      <c r="E141" s="69">
        <v>140.87</v>
      </c>
      <c r="F141" s="34">
        <f>C141/150*50</f>
        <v>1045.56</v>
      </c>
      <c r="G141" s="30">
        <v>187.29</v>
      </c>
      <c r="H141" s="69"/>
      <c r="I141" s="79">
        <v>10</v>
      </c>
      <c r="J141" s="18"/>
      <c r="K141" s="48"/>
    </row>
    <row r="142" spans="1:13" ht="13.5" customHeight="1" x14ac:dyDescent="0.25">
      <c r="A142" s="66">
        <v>1831</v>
      </c>
      <c r="B142" s="6" t="s">
        <v>39</v>
      </c>
      <c r="C142" s="94">
        <v>3119.68</v>
      </c>
      <c r="D142" s="30">
        <v>19.489999999999998</v>
      </c>
      <c r="E142" s="30">
        <v>117.39</v>
      </c>
      <c r="F142" s="34">
        <f>C142/170*50</f>
        <v>917.55294117647054</v>
      </c>
      <c r="G142" s="30">
        <v>142.47999999999999</v>
      </c>
      <c r="H142" s="85"/>
      <c r="I142" s="92">
        <v>10</v>
      </c>
      <c r="J142" s="18"/>
      <c r="K142" s="48"/>
    </row>
    <row r="143" spans="1:13" ht="13.5" customHeight="1" x14ac:dyDescent="0.25">
      <c r="A143" s="96">
        <v>450</v>
      </c>
      <c r="B143" s="6" t="s">
        <v>39</v>
      </c>
      <c r="C143" s="94">
        <v>3836.04</v>
      </c>
      <c r="D143" s="69">
        <v>112.64</v>
      </c>
      <c r="E143" s="45">
        <v>285.05</v>
      </c>
      <c r="F143" s="34">
        <f>C143/190*100</f>
        <v>2018.9684210526316</v>
      </c>
      <c r="G143" s="30">
        <v>328.74</v>
      </c>
      <c r="H143" s="69"/>
      <c r="I143" s="79">
        <v>20</v>
      </c>
      <c r="J143" s="18"/>
      <c r="K143" s="50"/>
    </row>
    <row r="144" spans="1:13" ht="13.5" customHeight="1" x14ac:dyDescent="0.25">
      <c r="A144" s="96">
        <v>537</v>
      </c>
      <c r="B144" s="6" t="s">
        <v>14</v>
      </c>
      <c r="C144" s="94">
        <v>3627.79</v>
      </c>
      <c r="D144" s="69">
        <v>88.32</v>
      </c>
      <c r="E144" s="69">
        <v>250.49</v>
      </c>
      <c r="F144" s="34">
        <f>C144/200*100</f>
        <v>1813.8950000000002</v>
      </c>
      <c r="G144" s="30">
        <v>292.95999999999998</v>
      </c>
      <c r="H144" s="69"/>
      <c r="I144" s="79">
        <v>20</v>
      </c>
      <c r="J144" s="18"/>
      <c r="K144" s="48"/>
    </row>
    <row r="145" spans="1:11" ht="13.5" customHeight="1" x14ac:dyDescent="0.25">
      <c r="A145" s="98"/>
      <c r="B145" s="99" t="s">
        <v>11</v>
      </c>
      <c r="C145" s="80">
        <f>SUM(C138:C144)</f>
        <v>23639.960000000003</v>
      </c>
      <c r="D145" s="100">
        <f>SUM(D138:D144)</f>
        <v>335.19</v>
      </c>
      <c r="E145" s="85">
        <f>SUM(E138:E144)</f>
        <v>1310.6600000000001</v>
      </c>
      <c r="F145" s="24">
        <f>SUM(F138:F144)</f>
        <v>9876.9600288957699</v>
      </c>
      <c r="G145" s="24">
        <f>SUM(G138:G144)</f>
        <v>1577.9099999999999</v>
      </c>
      <c r="H145" s="69"/>
      <c r="I145" s="79"/>
      <c r="J145" s="18"/>
      <c r="K145" s="17"/>
    </row>
  </sheetData>
  <sortState ref="A3:J94">
    <sortCondition ref="I3:I9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JULHO-2025</vt:lpstr>
    </vt:vector>
  </TitlesOfParts>
  <Company>SORRI-BAURU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Felipe Matheus Boar Camillo</cp:lastModifiedBy>
  <cp:lastPrinted>2025-06-03T18:33:33Z</cp:lastPrinted>
  <dcterms:created xsi:type="dcterms:W3CDTF">2010-10-19T16:09:51Z</dcterms:created>
  <dcterms:modified xsi:type="dcterms:W3CDTF">2025-08-14T13:30:33Z</dcterms:modified>
</cp:coreProperties>
</file>